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6" activeTab="3"/>
  </bookViews>
  <sheets>
    <sheet name="Proračun 2023" sheetId="1" r:id="rId1"/>
    <sheet name="Proračun 2023 5 razina-EUR" sheetId="2" r:id="rId2"/>
    <sheet name="Proračun 2023 5 razina-HRK" sheetId="3" r:id="rId3"/>
    <sheet name="Prihodi i primici-EUR" sheetId="4" r:id="rId4"/>
  </sheets>
  <definedNames>
    <definedName name="_xlnm.Print_Titles" localSheetId="1">'Proračun 2023 5 razina-EUR'!$5:$5</definedName>
    <definedName name="_xlnm.Print_Titles" localSheetId="2">'Proračun 2023 5 razina-HRK'!$5:$5</definedName>
    <definedName name="_xlnm.Print_Area" localSheetId="0">'Proračun 2023'!$A$2:$G$23</definedName>
    <definedName name="_xlnm.Print_Area" localSheetId="1">'Proračun 2023 5 razina-EUR'!$C$1:$I$83</definedName>
    <definedName name="_xlnm.Print_Area" localSheetId="2">'Proračun 2023 5 razina-HRK'!$C$1:$I$83</definedName>
  </definedNames>
  <calcPr fullCalcOnLoad="1"/>
</workbook>
</file>

<file path=xl/comments3.xml><?xml version="1.0" encoding="utf-8"?>
<comments xmlns="http://schemas.openxmlformats.org/spreadsheetml/2006/main">
  <authors>
    <author>Korisnik</author>
    <author>Denis</author>
  </authors>
  <commentList>
    <comment ref="D64" authorId="0">
      <text>
        <r>
          <rPr>
            <b/>
            <sz val="9"/>
            <rFont val="Tahoma"/>
            <family val="0"/>
          </rPr>
          <t>Korisnik:</t>
        </r>
        <r>
          <rPr>
            <sz val="9"/>
            <rFont val="Tahoma"/>
            <family val="0"/>
          </rPr>
          <t xml:space="preserve">
Koharević: 25000 strojevi</t>
        </r>
      </text>
    </comment>
    <comment ref="D58" authorId="1">
      <text>
        <r>
          <rPr>
            <b/>
            <sz val="9"/>
            <rFont val="Segoe UI"/>
            <family val="0"/>
          </rPr>
          <t>Denis:</t>
        </r>
        <r>
          <rPr>
            <sz val="9"/>
            <rFont val="Segoe UI"/>
            <family val="0"/>
          </rPr>
          <t xml:space="preserve">
Mjesečno naknada za otvoren račun u banci</t>
        </r>
      </text>
    </comment>
    <comment ref="D59" authorId="1">
      <text>
        <r>
          <rPr>
            <b/>
            <sz val="9"/>
            <rFont val="Segoe UI"/>
            <family val="0"/>
          </rPr>
          <t>Denis:</t>
        </r>
        <r>
          <rPr>
            <sz val="9"/>
            <rFont val="Segoe UI"/>
            <family val="0"/>
          </rPr>
          <t xml:space="preserve">
Kamate koje dođu na naplatu uslijed isteka roka dospijeća</t>
        </r>
      </text>
    </comment>
    <comment ref="D7" authorId="1">
      <text>
        <r>
          <rPr>
            <b/>
            <sz val="9"/>
            <rFont val="Segoe UI"/>
            <family val="0"/>
          </rPr>
          <t>Denis:</t>
        </r>
        <r>
          <rPr>
            <sz val="9"/>
            <rFont val="Segoe UI"/>
            <family val="0"/>
          </rPr>
          <t xml:space="preserve">
53 zaposlenik</t>
        </r>
      </text>
    </comment>
    <comment ref="D8" authorId="1">
      <text>
        <r>
          <rPr>
            <b/>
            <sz val="9"/>
            <rFont val="Segoe UI"/>
            <family val="0"/>
          </rPr>
          <t>Denis:</t>
        </r>
        <r>
          <rPr>
            <sz val="9"/>
            <rFont val="Segoe UI"/>
            <family val="0"/>
          </rPr>
          <t xml:space="preserve">
2500x53 djelatnika=132.500,00kn;
20000kn jubilarnih nagrada</t>
        </r>
      </text>
    </comment>
    <comment ref="D9" authorId="1">
      <text>
        <r>
          <rPr>
            <b/>
            <sz val="9"/>
            <rFont val="Segoe UI"/>
            <family val="0"/>
          </rPr>
          <t>Denis:</t>
        </r>
        <r>
          <rPr>
            <sz val="9"/>
            <rFont val="Segoe UI"/>
            <family val="0"/>
          </rPr>
          <t xml:space="preserve">
600knx27djece=16.200,00kn
53djelatnikx600,00kn bon=31.800,00 kn</t>
        </r>
      </text>
    </comment>
    <comment ref="D12" authorId="1">
      <text>
        <r>
          <rPr>
            <b/>
            <sz val="9"/>
            <rFont val="Segoe UI"/>
            <family val="0"/>
          </rPr>
          <t>Denis:</t>
        </r>
        <r>
          <rPr>
            <sz val="9"/>
            <rFont val="Segoe UI"/>
            <family val="0"/>
          </rPr>
          <t xml:space="preserve">
16,5%
</t>
        </r>
      </text>
    </comment>
    <comment ref="D15" authorId="1">
      <text>
        <r>
          <rPr>
            <b/>
            <sz val="9"/>
            <rFont val="Segoe UI"/>
            <family val="2"/>
          </rPr>
          <t>Denis:</t>
        </r>
        <r>
          <rPr>
            <sz val="9"/>
            <rFont val="Segoe UI"/>
            <family val="2"/>
          </rPr>
          <t xml:space="preserve">
STRUČNA SLUŽBA: 10.200,00 kn
PPZ: 3.200,00 kn</t>
        </r>
      </text>
    </comment>
    <comment ref="D16" authorId="1">
      <text>
        <r>
          <rPr>
            <b/>
            <sz val="9"/>
            <rFont val="Segoe UI"/>
            <family val="2"/>
          </rPr>
          <t>Denis:</t>
        </r>
        <r>
          <rPr>
            <sz val="9"/>
            <rFont val="Segoe UI"/>
            <family val="2"/>
          </rPr>
          <t xml:space="preserve">
30.000,00 kn x 12 mjeseci</t>
        </r>
      </text>
    </comment>
    <comment ref="D17" authorId="1">
      <text>
        <r>
          <rPr>
            <b/>
            <sz val="9"/>
            <rFont val="Segoe UI"/>
            <family val="2"/>
          </rPr>
          <t>Denis:</t>
        </r>
        <r>
          <rPr>
            <sz val="9"/>
            <rFont val="Segoe UI"/>
            <family val="2"/>
          </rPr>
          <t xml:space="preserve">
STRUČNA SLUŽBA: 5.000,00 kn
PPZ: 10.000,00 kn
PiE: 5.000,00 kn
Ured ravnatelja: 10.000,00 kn
Pravna služba: 5.000,00 kn</t>
        </r>
      </text>
    </comment>
    <comment ref="D19" authorId="1">
      <text>
        <r>
          <rPr>
            <b/>
            <sz val="9"/>
            <rFont val="Segoe UI"/>
            <family val="2"/>
          </rPr>
          <t>Denis:</t>
        </r>
        <r>
          <rPr>
            <sz val="9"/>
            <rFont val="Segoe UI"/>
            <family val="2"/>
          </rPr>
          <t xml:space="preserve">
STRUČNA SLUŽBA: 9.000,00 kn
PPZ: 5.000,00 kn
Ured ravnatelja: materijal za čišćenje ureda 8.000,00 kn</t>
        </r>
      </text>
    </comment>
    <comment ref="D20" authorId="1">
      <text>
        <r>
          <rPr>
            <b/>
            <sz val="9"/>
            <rFont val="Segoe UI"/>
            <family val="2"/>
          </rPr>
          <t>Denis:</t>
        </r>
        <r>
          <rPr>
            <sz val="9"/>
            <rFont val="Segoe UI"/>
            <family val="2"/>
          </rPr>
          <t xml:space="preserve">
5.000,00 kn x 12 mjeseci</t>
        </r>
      </text>
    </comment>
    <comment ref="D21" authorId="1">
      <text>
        <r>
          <rPr>
            <b/>
            <sz val="9"/>
            <rFont val="Segoe UI"/>
            <family val="2"/>
          </rPr>
          <t>Denis:</t>
        </r>
        <r>
          <rPr>
            <sz val="9"/>
            <rFont val="Segoe UI"/>
            <family val="2"/>
          </rPr>
          <t xml:space="preserve">
STRUČNA SLUŽBA: 62.500,00 kn 
PPZ: 33.750,00 kn
Ured ravnatelja: 5.000,00 kn</t>
        </r>
      </text>
    </comment>
    <comment ref="D34" authorId="1">
      <text>
        <r>
          <rPr>
            <b/>
            <sz val="9"/>
            <rFont val="Segoe UI"/>
            <family val="2"/>
          </rPr>
          <t>Denis:</t>
        </r>
        <r>
          <rPr>
            <sz val="9"/>
            <rFont val="Segoe UI"/>
            <family val="2"/>
          </rPr>
          <t xml:space="preserve">
STRUČNA SLUŽBA: 25.000,00 kn</t>
        </r>
      </text>
    </comment>
    <comment ref="D23" authorId="1">
      <text>
        <r>
          <rPr>
            <b/>
            <sz val="9"/>
            <rFont val="Segoe UI"/>
            <family val="2"/>
          </rPr>
          <t>Denis:</t>
        </r>
        <r>
          <rPr>
            <sz val="9"/>
            <rFont val="Segoe UI"/>
            <family val="2"/>
          </rPr>
          <t xml:space="preserve">
STRUČNA SLUŽBA: 37.500,00 kn 
PPZ: popunjavanje hidrantskih ormarića 3.125,00 kn
PPZ: prednaponska zaštita za opremu na ulaznim rampama 2.750,00 kn
PiE: Povrtnjak na Benama 12.500,00 kn</t>
        </r>
      </text>
    </comment>
    <comment ref="D39" authorId="1">
      <text>
        <r>
          <rPr>
            <b/>
            <sz val="9"/>
            <rFont val="Segoe UI"/>
            <family val="2"/>
          </rPr>
          <t>Denis:</t>
        </r>
        <r>
          <rPr>
            <sz val="9"/>
            <rFont val="Segoe UI"/>
            <family val="2"/>
          </rPr>
          <t xml:space="preserve">
STRUČNA SLUŽBA: 37.500,00 kn</t>
        </r>
      </text>
    </comment>
    <comment ref="D55" authorId="1">
      <text>
        <r>
          <rPr>
            <b/>
            <sz val="9"/>
            <rFont val="Segoe UI"/>
            <family val="2"/>
          </rPr>
          <t>Denis:</t>
        </r>
        <r>
          <rPr>
            <sz val="9"/>
            <rFont val="Segoe UI"/>
            <family val="2"/>
          </rPr>
          <t xml:space="preserve">
STRUČNA SLUŽBA: 10.000,00 kn, obuka za korištenje drona 5.000,00 kn
PPZ: seminar čuvara prirode 17.500,00 kn,seminar stručnih službi 2.500,00kn, stručni seminar za čuvare prirode 10.000,00 kn, obuka za GIS 17.500,00 kn
ZNR: stručni seminar 5.000,00 kn
PiE: seminari 12.500,00 kn
PRAVNA SLUŽBA: 10.000,00 kn</t>
        </r>
      </text>
    </comment>
    <comment ref="D50" authorId="1">
      <text>
        <r>
          <rPr>
            <b/>
            <sz val="9"/>
            <rFont val="Segoe UI"/>
            <family val="2"/>
          </rPr>
          <t>Denis:</t>
        </r>
        <r>
          <rPr>
            <sz val="9"/>
            <rFont val="Segoe UI"/>
            <family val="2"/>
          </rPr>
          <t xml:space="preserve">
STRUČNA SLUŽBA: Lovtur 50.000,00 kn
PiE: organizacija dana Marjana i dječjeg dana Marjana 68.750,00 kn, uređenje zelenih površina 30.000,00 kn</t>
        </r>
      </text>
    </comment>
    <comment ref="D22" authorId="1">
      <text>
        <r>
          <rPr>
            <b/>
            <sz val="9"/>
            <rFont val="Segoe UI"/>
            <family val="2"/>
          </rPr>
          <t>Denis:</t>
        </r>
        <r>
          <rPr>
            <sz val="9"/>
            <rFont val="Segoe UI"/>
            <family val="2"/>
          </rPr>
          <t xml:space="preserve">
STRUČNA SLUŽBA: 18.750,00 kn sitni materijali, održavanje I. vode 22.373,00 kn, održavanje spomenika u uvali 40.200,00 kn, održavanje upravne zgrade 6.250,00 kn
Ured ravnatelja: materijali za urede 8.000,00 kn
postavljanje 2 nove slavine</t>
        </r>
      </text>
    </comment>
    <comment ref="D26" authorId="1">
      <text>
        <r>
          <rPr>
            <b/>
            <sz val="9"/>
            <rFont val="Segoe UI"/>
            <family val="2"/>
          </rPr>
          <t>Denis:</t>
        </r>
        <r>
          <rPr>
            <sz val="9"/>
            <rFont val="Segoe UI"/>
            <family val="2"/>
          </rPr>
          <t xml:space="preserve">
STRUČNA SLUŽBA: 50.000,00 kn
PiE: uniforme za djelatnice 8.750,00 kn</t>
        </r>
      </text>
    </comment>
    <comment ref="D36" authorId="1">
      <text>
        <r>
          <rPr>
            <b/>
            <sz val="9"/>
            <rFont val="Segoe UI"/>
            <family val="2"/>
          </rPr>
          <t>Denis:</t>
        </r>
        <r>
          <rPr>
            <sz val="9"/>
            <rFont val="Segoe UI"/>
            <family val="2"/>
          </rPr>
          <t xml:space="preserve">
STRUČNA SLUŽBA: pranje kamiona 1.000,00 kn, najam WC kabina 18.000,00 kn, pražnjenje septičke jame 3.000,00 kn
PPZ: 2.500,00 kn pranje vozila</t>
        </r>
      </text>
    </comment>
    <comment ref="D48" authorId="1">
      <text>
        <r>
          <rPr>
            <b/>
            <sz val="9"/>
            <rFont val="Segoe UI"/>
            <family val="0"/>
          </rPr>
          <t>Denis:</t>
        </r>
        <r>
          <rPr>
            <sz val="9"/>
            <rFont val="Segoe UI"/>
            <family val="0"/>
          </rPr>
          <t xml:space="preserve">
PPZ: 1875 kn+750,00 kn
STRUČNA SLUŽBA: kamion 2.500,00 kn
Ured ravnatelja: 2.000,00 kn Dacia Duster
PiE: El.autobus 2.000,00 kn</t>
        </r>
      </text>
    </comment>
    <comment ref="D51" authorId="1">
      <text>
        <r>
          <rPr>
            <b/>
            <sz val="9"/>
            <rFont val="Segoe UI"/>
            <family val="0"/>
          </rPr>
          <t>Denis:</t>
        </r>
        <r>
          <rPr>
            <sz val="9"/>
            <rFont val="Segoe UI"/>
            <family val="0"/>
          </rPr>
          <t xml:space="preserve">
PPZ: 1.500,00 kn + 437,50 kn
STRUČNA SLUŽBA: kamion 8.000,00 kn
PiE: el.bus 12.000,00 kn
Ured ravnatelja: Dacia Duster 5.000,00 kn</t>
        </r>
      </text>
    </comment>
    <comment ref="D24" authorId="1">
      <text>
        <r>
          <rPr>
            <b/>
            <sz val="9"/>
            <rFont val="Segoe UI"/>
            <family val="0"/>
          </rPr>
          <t>Denis:</t>
        </r>
        <r>
          <rPr>
            <sz val="9"/>
            <rFont val="Segoe UI"/>
            <family val="0"/>
          </rPr>
          <t xml:space="preserve">
PPZ: 12.500,00+4.125,00 kn autogume
STRUČNA SLUŽBA: održavanje kamiona 20.000,00 kn, autogume 5.000,00 kn
Ured ravnatelja: održavanje vozila 10.000,00 kn, autogume 5.000,00 kn,
održavanje el.autobusa 10.000,00 kn</t>
        </r>
      </text>
    </comment>
    <comment ref="D67" authorId="1">
      <text>
        <r>
          <rPr>
            <b/>
            <sz val="9"/>
            <rFont val="Segoe UI"/>
            <family val="0"/>
          </rPr>
          <t>Denis:</t>
        </r>
        <r>
          <rPr>
            <sz val="9"/>
            <rFont val="Segoe UI"/>
            <family val="0"/>
          </rPr>
          <t xml:space="preserve">
PPZ: 85.000,00 službena odjeća, uniforme</t>
        </r>
      </text>
    </comment>
    <comment ref="D25" authorId="1">
      <text>
        <r>
          <rPr>
            <b/>
            <sz val="9"/>
            <rFont val="Segoe UI"/>
            <family val="0"/>
          </rPr>
          <t>Denis:</t>
        </r>
        <r>
          <rPr>
            <sz val="9"/>
            <rFont val="Segoe UI"/>
            <family val="0"/>
          </rPr>
          <t xml:space="preserve">
PPZ: UPS za 3 računala 3.000,00 kn+stolice 5.700,00 kn, led reflektori 600,00 kn, baterije za daljinske upravljače na rampama 250,00 kn, znakovi upozorenja na stablima 500,00 kn, znakovi upozorenja na podu 2.250,00 kn, pleksiglas zaštita za stolove 350,00 kn
STRUČNA SLUŽBA: Zastave 90.000,00 kn</t>
        </r>
      </text>
    </comment>
    <comment ref="D68" authorId="1">
      <text>
        <r>
          <rPr>
            <b/>
            <sz val="9"/>
            <rFont val="Segoe UI"/>
            <family val="0"/>
          </rPr>
          <t>Denis:</t>
        </r>
        <r>
          <rPr>
            <sz val="9"/>
            <rFont val="Segoe UI"/>
            <family val="0"/>
          </rPr>
          <t xml:space="preserve">
PPZ: brentače 5.000,00 kn, 22500 kn radio uređaji</t>
        </r>
      </text>
    </comment>
    <comment ref="D29" authorId="1">
      <text>
        <r>
          <rPr>
            <b/>
            <sz val="9"/>
            <rFont val="Segoe UI"/>
            <family val="0"/>
          </rPr>
          <t>Denis:</t>
        </r>
        <r>
          <rPr>
            <sz val="9"/>
            <rFont val="Segoe UI"/>
            <family val="0"/>
          </rPr>
          <t xml:space="preserve">
PPZ: Godišnji servis vatrogasnih aparata 5.625,00 kn, postavljanje stupića na rampi Vodosprema 500,00 kn, održavanje radio veza 26.250,00 kn, </t>
        </r>
      </text>
    </comment>
    <comment ref="D56" authorId="1">
      <text>
        <r>
          <rPr>
            <b/>
            <sz val="9"/>
            <rFont val="Segoe UI"/>
            <family val="0"/>
          </rPr>
          <t>Denis:</t>
        </r>
        <r>
          <rPr>
            <sz val="9"/>
            <rFont val="Segoe UI"/>
            <family val="0"/>
          </rPr>
          <t xml:space="preserve">
PPZ: radijska frekvencija 8.125,00 kn, sudski i katastarski izvodi 2.100,00 kn,
HRT pretplata, Čistoća pretplata, RRiF pretplata: 7000kn</t>
        </r>
      </text>
    </comment>
    <comment ref="D30" authorId="1">
      <text>
        <r>
          <rPr>
            <b/>
            <sz val="9"/>
            <rFont val="Segoe UI"/>
            <family val="0"/>
          </rPr>
          <t>Denis:</t>
        </r>
        <r>
          <rPr>
            <sz val="9"/>
            <rFont val="Segoe UI"/>
            <family val="0"/>
          </rPr>
          <t xml:space="preserve">
PPZ: ordžavanje penjališta 10.000,00 kn, održavanje videonadzora 50.000,00 kn, videonadzor popravci 13.000,00 kn, godišnje održavanje rampe 18.750,00 kn</t>
        </r>
      </text>
    </comment>
    <comment ref="D47" authorId="1">
      <text>
        <r>
          <rPr>
            <b/>
            <sz val="9"/>
            <rFont val="Segoe UI"/>
            <family val="0"/>
          </rPr>
          <t>Denis:</t>
        </r>
        <r>
          <rPr>
            <sz val="9"/>
            <rFont val="Segoe UI"/>
            <family val="0"/>
          </rPr>
          <t xml:space="preserve">
PPZ: vinjete 3.750,00 kn, privremene vinjete 2.500,00 kn, akreditacije 800,00 kn, preventivno-operativni plan zaštite od požara 2.750,00 kn
PiE: tisak promo materijala 37.500,00 kn,
dotisak edukativnih materijala 12.500,00 kn,
izrada nove brošure 8.750,00 kn</t>
        </r>
      </text>
    </comment>
    <comment ref="D28" authorId="1">
      <text>
        <r>
          <rPr>
            <b/>
            <sz val="9"/>
            <rFont val="Segoe UI"/>
            <family val="0"/>
          </rPr>
          <t>Denis:</t>
        </r>
        <r>
          <rPr>
            <sz val="9"/>
            <rFont val="Segoe UI"/>
            <family val="0"/>
          </rPr>
          <t xml:space="preserve">
PPZ: poštarina 2.500,00 kn
Ured ravnatelja: 2.500,00 kn</t>
        </r>
      </text>
    </comment>
    <comment ref="D61" authorId="1">
      <text>
        <r>
          <rPr>
            <b/>
            <sz val="9"/>
            <rFont val="Segoe UI"/>
            <family val="0"/>
          </rPr>
          <t>Denis:</t>
        </r>
        <r>
          <rPr>
            <sz val="9"/>
            <rFont val="Segoe UI"/>
            <family val="0"/>
          </rPr>
          <t xml:space="preserve">
PPZ: računalo 6.250,00 kn
PiE: 7.000,00 kn</t>
        </r>
      </text>
    </comment>
    <comment ref="D77" authorId="1">
      <text>
        <r>
          <rPr>
            <b/>
            <sz val="9"/>
            <rFont val="Segoe UI"/>
            <family val="2"/>
          </rPr>
          <t>Denis:</t>
        </r>
        <r>
          <rPr>
            <sz val="9"/>
            <rFont val="Segoe UI"/>
            <family val="2"/>
          </rPr>
          <t xml:space="preserve">
Ured ravnatelja: postavljanje uspornika na cesti I.Meštrovića-Kašjuni 8x15.000,00 kn, postavljanje klupa iznad plaže Kaštelet 10komx2.500,00 kn</t>
        </r>
      </text>
    </comment>
    <comment ref="D76" authorId="1">
      <text>
        <r>
          <rPr>
            <b/>
            <sz val="9"/>
            <rFont val="Segoe UI"/>
            <family val="2"/>
          </rPr>
          <t>Denis:</t>
        </r>
        <r>
          <rPr>
            <sz val="9"/>
            <rFont val="Segoe UI"/>
            <family val="2"/>
          </rPr>
          <t xml:space="preserve">
obnova sustava ulaznih rampi 207.000,00 kn, postavljanje ograde na Kašteletu 70.000,00 kn</t>
        </r>
      </text>
    </comment>
    <comment ref="D75" authorId="1">
      <text>
        <r>
          <rPr>
            <b/>
            <sz val="9"/>
            <rFont val="Segoe UI"/>
            <family val="2"/>
          </rPr>
          <t>Denis:</t>
        </r>
        <r>
          <rPr>
            <sz val="9"/>
            <rFont val="Segoe UI"/>
            <family val="2"/>
          </rPr>
          <t xml:space="preserve">
STRUČNA SLUŽBA: monitoring flore i faune 250.000,00 kn</t>
        </r>
      </text>
    </comment>
    <comment ref="D63" authorId="1">
      <text>
        <r>
          <rPr>
            <b/>
            <sz val="9"/>
            <rFont val="Segoe UI"/>
            <family val="2"/>
          </rPr>
          <t>Denis:</t>
        </r>
        <r>
          <rPr>
            <sz val="9"/>
            <rFont val="Segoe UI"/>
            <family val="2"/>
          </rPr>
          <t xml:space="preserve">
STRUČNA SLUŽBA: dron 20.000,00 kn</t>
        </r>
      </text>
    </comment>
    <comment ref="D71" authorId="1">
      <text>
        <r>
          <rPr>
            <b/>
            <sz val="9"/>
            <rFont val="Segoe UI"/>
            <family val="2"/>
          </rPr>
          <t>Denis:</t>
        </r>
        <r>
          <rPr>
            <sz val="9"/>
            <rFont val="Segoe UI"/>
            <family val="2"/>
          </rPr>
          <t xml:space="preserve">
SLUŽBA PiE: prijevoz djece 37.500,00 kn</t>
        </r>
      </text>
    </comment>
    <comment ref="D40" authorId="1">
      <text>
        <r>
          <rPr>
            <b/>
            <sz val="9"/>
            <rFont val="Segoe UI"/>
            <family val="2"/>
          </rPr>
          <t>Denis:</t>
        </r>
        <r>
          <rPr>
            <sz val="9"/>
            <rFont val="Segoe UI"/>
            <family val="2"/>
          </rPr>
          <t xml:space="preserve">
PiE: prijevoz za dan pješačenja 12.500,00 kn, prijevoz za "Primorska vazdazelena šuma" i "Šetnjom do zdravlja" 12.500,00 kn</t>
        </r>
      </text>
    </comment>
    <comment ref="D45" authorId="1">
      <text>
        <r>
          <rPr>
            <b/>
            <sz val="9"/>
            <rFont val="Segoe UI"/>
            <family val="2"/>
          </rPr>
          <t>Denis:</t>
        </r>
        <r>
          <rPr>
            <sz val="9"/>
            <rFont val="Segoe UI"/>
            <family val="2"/>
          </rPr>
          <t xml:space="preserve">
PiE: projektna dokumentacija "Otkrivanje Marjana" 37.500,00 kn</t>
        </r>
      </text>
    </comment>
    <comment ref="D46" authorId="1">
      <text>
        <r>
          <rPr>
            <b/>
            <sz val="9"/>
            <rFont val="Segoe UI"/>
            <family val="2"/>
          </rPr>
          <t>Denis:</t>
        </r>
        <r>
          <rPr>
            <sz val="9"/>
            <rFont val="Segoe UI"/>
            <family val="2"/>
          </rPr>
          <t xml:space="preserve">
PiE: održavanje web stranice 18.750,00 kn,
centar za posjetitelje održavanje IT sustava 9.600,00 kn
Održavanje računalne opreme JU 5.800,00 kn x 12mj.,
godišnji antivirus 2.000,00 kn</t>
        </r>
      </text>
    </comment>
    <comment ref="D31" authorId="1">
      <text>
        <r>
          <rPr>
            <b/>
            <sz val="9"/>
            <rFont val="Segoe UI"/>
            <family val="2"/>
          </rPr>
          <t>Denis:</t>
        </r>
        <r>
          <rPr>
            <sz val="9"/>
            <rFont val="Segoe UI"/>
            <family val="2"/>
          </rPr>
          <t xml:space="preserve">
PiE: promotivni letci 3.750,00 kn, suveniri za centar za posjetitellje 31.250,00 kn, božićni promo materijal 18.750,00 kn</t>
        </r>
      </text>
    </comment>
    <comment ref="D43" authorId="1">
      <text>
        <r>
          <rPr>
            <b/>
            <sz val="9"/>
            <rFont val="Segoe UI"/>
            <family val="2"/>
          </rPr>
          <t>Denis:</t>
        </r>
        <r>
          <rPr>
            <sz val="9"/>
            <rFont val="Segoe UI"/>
            <family val="2"/>
          </rPr>
          <t xml:space="preserve">
PiE: Obilježavanje datuma u zaštiti prirode 20.000,00 kn</t>
        </r>
      </text>
    </comment>
    <comment ref="D53" authorId="1">
      <text>
        <r>
          <rPr>
            <b/>
            <sz val="9"/>
            <rFont val="Segoe UI"/>
            <family val="2"/>
          </rPr>
          <t>Denis:</t>
        </r>
        <r>
          <rPr>
            <sz val="9"/>
            <rFont val="Segoe UI"/>
            <family val="2"/>
          </rPr>
          <t xml:space="preserve">
PiE: trošak osvježenja za radionice, sastanke itd 3.750,00 kn</t>
        </r>
      </text>
    </comment>
    <comment ref="D18" authorId="1">
      <text>
        <r>
          <rPr>
            <b/>
            <sz val="9"/>
            <rFont val="Segoe UI"/>
            <family val="2"/>
          </rPr>
          <t>Denis:</t>
        </r>
        <r>
          <rPr>
            <sz val="9"/>
            <rFont val="Segoe UI"/>
            <family val="2"/>
          </rPr>
          <t xml:space="preserve">
Stručna služba: stručna literatura 3.000,00 kn
Prvana služba: 2.000,00 kn</t>
        </r>
      </text>
    </comment>
    <comment ref="D27" authorId="1">
      <text>
        <r>
          <rPr>
            <b/>
            <sz val="9"/>
            <rFont val="Segoe UI"/>
            <family val="2"/>
          </rPr>
          <t>Denis:</t>
        </r>
        <r>
          <rPr>
            <sz val="9"/>
            <rFont val="Segoe UI"/>
            <family val="2"/>
          </rPr>
          <t xml:space="preserve">
3.500,00 kn x 12 mj. mobilne usluge
1.000,00 kn x 12 mj.
telefon Internet na lokacijama JU</t>
        </r>
      </text>
    </comment>
    <comment ref="D32" authorId="1">
      <text>
        <r>
          <rPr>
            <b/>
            <sz val="9"/>
            <rFont val="Segoe UI"/>
            <family val="2"/>
          </rPr>
          <t>Denis:</t>
        </r>
        <r>
          <rPr>
            <sz val="9"/>
            <rFont val="Segoe UI"/>
            <family val="2"/>
          </rPr>
          <t xml:space="preserve">
PiE: 15.000,00 kn za snimanje i fotografiranje</t>
        </r>
      </text>
    </comment>
    <comment ref="D33" authorId="1">
      <text>
        <r>
          <rPr>
            <b/>
            <sz val="9"/>
            <rFont val="Segoe UI"/>
            <family val="2"/>
          </rPr>
          <t>Denis:</t>
        </r>
        <r>
          <rPr>
            <sz val="9"/>
            <rFont val="Segoe UI"/>
            <family val="2"/>
          </rPr>
          <t xml:space="preserve">
Procjena poroška vode po lokacijama ureda JU te centra za posjetitelje</t>
        </r>
      </text>
    </comment>
    <comment ref="D35" authorId="1">
      <text>
        <r>
          <rPr>
            <b/>
            <sz val="9"/>
            <rFont val="Segoe UI"/>
            <family val="2"/>
          </rPr>
          <t>Denis:</t>
        </r>
        <r>
          <rPr>
            <sz val="9"/>
            <rFont val="Segoe UI"/>
            <family val="2"/>
          </rPr>
          <t xml:space="preserve">
ZNR: 10000 dezinfekcija prostora</t>
        </r>
      </text>
    </comment>
    <comment ref="D38" authorId="1">
      <text>
        <r>
          <rPr>
            <b/>
            <sz val="9"/>
            <rFont val="Segoe UI"/>
            <family val="2"/>
          </rPr>
          <t>Denis:</t>
        </r>
        <r>
          <rPr>
            <sz val="9"/>
            <rFont val="Segoe UI"/>
            <family val="2"/>
          </rPr>
          <t xml:space="preserve">
mjesečne komunalne naknade, ostale komunalne intervencije ukoliko se pojave</t>
        </r>
      </text>
    </comment>
    <comment ref="D41" authorId="1">
      <text>
        <r>
          <rPr>
            <b/>
            <sz val="9"/>
            <rFont val="Segoe UI"/>
            <family val="2"/>
          </rPr>
          <t>Denis:</t>
        </r>
        <r>
          <rPr>
            <sz val="9"/>
            <rFont val="Segoe UI"/>
            <family val="2"/>
          </rPr>
          <t xml:space="preserve">
ZNR: kontrolni liječnički pregledi, djelatnikx1000kn</t>
        </r>
      </text>
    </comment>
    <comment ref="D42" authorId="1">
      <text>
        <r>
          <rPr>
            <b/>
            <sz val="9"/>
            <rFont val="Segoe UI"/>
            <family val="2"/>
          </rPr>
          <t>Denis:</t>
        </r>
        <r>
          <rPr>
            <sz val="9"/>
            <rFont val="Segoe UI"/>
            <family val="2"/>
          </rPr>
          <t xml:space="preserve">
Potrebe službe PiE za razne izložbe i programe koje ima u svom radu tijekom godine</t>
        </r>
      </text>
    </comment>
    <comment ref="D44" authorId="1">
      <text>
        <r>
          <rPr>
            <b/>
            <sz val="9"/>
            <rFont val="Segoe UI"/>
            <family val="2"/>
          </rPr>
          <t>Denis:</t>
        </r>
        <r>
          <rPr>
            <sz val="9"/>
            <rFont val="Segoe UI"/>
            <family val="2"/>
          </rPr>
          <t xml:space="preserve">
12mj x 6.500,00 kn</t>
        </r>
      </text>
    </comment>
    <comment ref="D49" authorId="1">
      <text>
        <r>
          <rPr>
            <b/>
            <sz val="9"/>
            <rFont val="Segoe UI"/>
            <family val="2"/>
          </rPr>
          <t>Denis:</t>
        </r>
        <r>
          <rPr>
            <sz val="9"/>
            <rFont val="Segoe UI"/>
            <family val="2"/>
          </rPr>
          <t xml:space="preserve">
Alarm na lokacijama ureda JU</t>
        </r>
      </text>
    </comment>
    <comment ref="D52" authorId="1">
      <text>
        <r>
          <rPr>
            <b/>
            <sz val="9"/>
            <rFont val="Segoe UI"/>
            <family val="2"/>
          </rPr>
          <t>Denis:</t>
        </r>
        <r>
          <rPr>
            <sz val="9"/>
            <rFont val="Segoe UI"/>
            <family val="2"/>
          </rPr>
          <t xml:space="preserve">
Osiguranje djelatnika na radu</t>
        </r>
      </text>
    </comment>
    <comment ref="D54" authorId="1">
      <text>
        <r>
          <rPr>
            <b/>
            <sz val="9"/>
            <rFont val="Segoe UI"/>
            <family val="2"/>
          </rPr>
          <t>Denis:</t>
        </r>
        <r>
          <rPr>
            <sz val="9"/>
            <rFont val="Segoe UI"/>
            <family val="2"/>
          </rPr>
          <t xml:space="preserve">
PiE: rad u centru za posjetitelje</t>
        </r>
      </text>
    </comment>
    <comment ref="D74" authorId="1">
      <text>
        <r>
          <rPr>
            <b/>
            <sz val="9"/>
            <rFont val="Segoe UI"/>
            <family val="0"/>
          </rPr>
          <t>Denis:</t>
        </r>
        <r>
          <rPr>
            <sz val="9"/>
            <rFont val="Segoe UI"/>
            <family val="0"/>
          </rPr>
          <t xml:space="preserve">
nabavka šumskog reprodukcijskog materijala 30.000,00 kn, sadnja novih stabala na Šetalištu I.Meštrovića 30.000,00 kn, uređenje zelene površine na Sturinama 50.000,00 kn, uklanjanje odrona s igrališta u Marasovićevoj ulici 50.000,00 kn, postavljanje novih oznaka u PŠ Marjan 50.000,00 kn,
Izrada projektne dokumentacije i sanacija šetnice od Zvončaca do plaže Kaštelet 250.000,00 kn</t>
        </r>
      </text>
    </comment>
  </commentList>
</comments>
</file>

<file path=xl/sharedStrings.xml><?xml version="1.0" encoding="utf-8"?>
<sst xmlns="http://schemas.openxmlformats.org/spreadsheetml/2006/main" count="260" uniqueCount="92">
  <si>
    <t>Naknade za prijevoz na posao i s posla</t>
  </si>
  <si>
    <t>Dnevnice za službeni put u zemlji</t>
  </si>
  <si>
    <t>Uredski materijal</t>
  </si>
  <si>
    <t>Literatura(publikacije,časopisi,glasila,knjige i ostalo)</t>
  </si>
  <si>
    <t>Materijal i sredstva za čišćenje i održavanje</t>
  </si>
  <si>
    <t>Električna energija</t>
  </si>
  <si>
    <t>Motorni benzin i dizel gorivo</t>
  </si>
  <si>
    <t>Usluge telefona, telefaksa</t>
  </si>
  <si>
    <t>Opskrba vodom</t>
  </si>
  <si>
    <t>Iznošenje i odvoz smeća</t>
  </si>
  <si>
    <t>Usluge čuvanja imovine i osoba</t>
  </si>
  <si>
    <t>Ostale intelektualne usluge</t>
  </si>
  <si>
    <t>Usluge ažuriranja računalnih baza</t>
  </si>
  <si>
    <t>Naknade članovima predstavničkih i izvršnih tijela</t>
  </si>
  <si>
    <t>Premije osiguranja prijevoznih sredstava</t>
  </si>
  <si>
    <t>Premije osiguranja zaposlenih</t>
  </si>
  <si>
    <t>Usluge banaka</t>
  </si>
  <si>
    <t>U K U P N O:</t>
  </si>
  <si>
    <t>Plaće za zaposlene</t>
  </si>
  <si>
    <t>Naknada za bolest invalidnost i smrtni slučaj</t>
  </si>
  <si>
    <t>Doprinosi za obvezno zdrav.osig.</t>
  </si>
  <si>
    <t>J.U. Park-šuma Marjan</t>
  </si>
  <si>
    <t>Cattanijin put 2, 21 000 SPLIT</t>
  </si>
  <si>
    <t>Naknada za korištenje privatnog automob.u služb.svrhe</t>
  </si>
  <si>
    <t>Reprezentacija</t>
  </si>
  <si>
    <t>Obvezni pregledi zaposlenika</t>
  </si>
  <si>
    <t>Službena, radna i zaštitna odjeća i obuća</t>
  </si>
  <si>
    <t>Materijalni rashodi</t>
  </si>
  <si>
    <t>01-05-01</t>
  </si>
  <si>
    <t>Aktivnost  REDOVNA DJELATNOST</t>
  </si>
  <si>
    <t>Mat. i dijelovi za tekuće i investic.održavnje prijev.sredstava</t>
  </si>
  <si>
    <t>Financijski rashodi</t>
  </si>
  <si>
    <t>Grafičke i tiskarske usluge, usluge kopiranja  i slično</t>
  </si>
  <si>
    <t>Rashodi za dugotrajnu imovinu</t>
  </si>
  <si>
    <t>01-05-03</t>
  </si>
  <si>
    <t>Projekt PROTUPOŽARNI VIDEO-SUSTAV</t>
  </si>
  <si>
    <t>01-08-01</t>
  </si>
  <si>
    <t>Aktivnost  UPRAVNO VIJEĆE</t>
  </si>
  <si>
    <t>UKUPNO</t>
  </si>
  <si>
    <t>Revizorske usluge - Računovodstvo</t>
  </si>
  <si>
    <t>Ostale pristojbe i naknade - HRT pretplata i porez na tvrtku</t>
  </si>
  <si>
    <t>Promidžbeni materijal - Božićni pokloni</t>
  </si>
  <si>
    <t>Ostale komunalne usluge - Karepovac,komunalna naknada</t>
  </si>
  <si>
    <t>Dimnjačarske i ekološke usluge - Najam WC kabina</t>
  </si>
  <si>
    <t>Deratizacija i dezinsekcija - Zaštita bilja i rad na doznaci</t>
  </si>
  <si>
    <t xml:space="preserve">Mat.i dijelovi za tekuće i investic. održ. građ.objekata </t>
  </si>
  <si>
    <t xml:space="preserve">Mat.i dijelovi za tekuće i investic. održ. postrojenja i opreme </t>
  </si>
  <si>
    <t>Ostale usluge promidžbe i informiranja</t>
  </si>
  <si>
    <t>Pričuva - Teslina</t>
  </si>
  <si>
    <t>Najamnine za opremu - Autokošara i sl.</t>
  </si>
  <si>
    <t>Autorski honorari</t>
  </si>
  <si>
    <t>Usluge pri registraciji prijevoznih sredstava - Tehnički</t>
  </si>
  <si>
    <t>Plaće, doprinosi, i ostali dodaci</t>
  </si>
  <si>
    <t>Ugovori o djelu</t>
  </si>
  <si>
    <t>Računala i računalna oprema</t>
  </si>
  <si>
    <t>Ostala uredska oprema</t>
  </si>
  <si>
    <t>01-05-06</t>
  </si>
  <si>
    <t>Aktivnost BLAGO NAŠEG MARJANA</t>
  </si>
  <si>
    <t>Nagrade prigodne - Jubilarne</t>
  </si>
  <si>
    <t>Darovi (darovi djeci) i poklon bon</t>
  </si>
  <si>
    <t>Otpremnine</t>
  </si>
  <si>
    <t>Poštarina (Tiskanice, pisma i slično)</t>
  </si>
  <si>
    <t>Zatezne kamate</t>
  </si>
  <si>
    <t>Ostala komunikacijska oprema</t>
  </si>
  <si>
    <t>Ostala oprema za održavanje i zaštitu</t>
  </si>
  <si>
    <t>Ostale nespomenute usluge</t>
  </si>
  <si>
    <t>Seminari, simpoziji</t>
  </si>
  <si>
    <t>ODOBRENO</t>
  </si>
  <si>
    <t>TRAŽENO</t>
  </si>
  <si>
    <t>oprema za protupožarnu zaštitu</t>
  </si>
  <si>
    <t>Ostale usluge tekućeg i investicijskog održavanja</t>
  </si>
  <si>
    <t>Zakupnine i najamnine za prij. Sredstva</t>
  </si>
  <si>
    <t>GRAD SPLIT</t>
  </si>
  <si>
    <t>VL. SREDSTVA</t>
  </si>
  <si>
    <t xml:space="preserve">Usluge tekućeg i investic. Održ. pos.i opreme </t>
  </si>
  <si>
    <t>FINANCIJSKI PLAN ZA 2023</t>
  </si>
  <si>
    <t>SANACIJA OBJEKATA I ODRŽAVANJE OPREME</t>
  </si>
  <si>
    <t>VL.SREDSTVA</t>
  </si>
  <si>
    <t>Oprema</t>
  </si>
  <si>
    <t>Ostale zakupnine i najamnine</t>
  </si>
  <si>
    <t xml:space="preserve">Sitni inventar </t>
  </si>
  <si>
    <t>Usluge agencija, studentskog servisa</t>
  </si>
  <si>
    <r>
      <rPr>
        <b/>
        <sz val="10"/>
        <rFont val="Times New Roman"/>
        <family val="1"/>
      </rPr>
      <t>Napomena</t>
    </r>
    <r>
      <rPr>
        <sz val="10"/>
        <rFont val="Times New Roman"/>
        <family val="1"/>
      </rPr>
      <t>: Primjena fiksnog tečaja konverzije 7,53450 EUR</t>
    </r>
  </si>
  <si>
    <t>PRIHODI I PRIMICI ISKAZANI PO VRSTAMA</t>
  </si>
  <si>
    <t>RAČUN</t>
  </si>
  <si>
    <t>VRSTA PRIHODA</t>
  </si>
  <si>
    <t>PLAN 2023.</t>
  </si>
  <si>
    <t>Prihodi iz Proračuna Grada Splita</t>
  </si>
  <si>
    <t>Vlastiti prihodi</t>
  </si>
  <si>
    <t>PLAN 2024.</t>
  </si>
  <si>
    <t>PLAN 2025.</t>
  </si>
  <si>
    <r>
      <rPr>
        <b/>
        <sz val="10"/>
        <rFont val="Arial"/>
        <family val="2"/>
      </rPr>
      <t>Napomena:</t>
    </r>
    <r>
      <rPr>
        <sz val="10"/>
        <rFont val="Arial"/>
        <family val="0"/>
      </rPr>
      <t xml:space="preserve"> Primjena fiksnog tečaja konverzije 7,53450 EUR</t>
    </r>
  </si>
</sst>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00"/>
    <numFmt numFmtId="167" formatCode="#,##0.0"/>
    <numFmt numFmtId="168" formatCode="0.0"/>
    <numFmt numFmtId="169" formatCode="0.0%"/>
    <numFmt numFmtId="170" formatCode="&quot;Da&quot;;&quot;Da&quot;;&quot;Ne&quot;"/>
    <numFmt numFmtId="171" formatCode="&quot;True&quot;;&quot;True&quot;;&quot;False&quot;"/>
    <numFmt numFmtId="172" formatCode="&quot;Uključeno&quot;;&quot;Uključeno&quot;;&quot;Isključeno&quot;"/>
    <numFmt numFmtId="173" formatCode="[$¥€-2]\ #,##0.00_);[Red]\([$€-2]\ #,##0.00\)"/>
    <numFmt numFmtId="174" formatCode="0.0000"/>
    <numFmt numFmtId="175" formatCode="#,##0.000"/>
    <numFmt numFmtId="176" formatCode="[$-41A]dd\.\ mmmm\ yyyy\."/>
    <numFmt numFmtId="177" formatCode="&quot;Yes&quot;;&quot;Yes&quot;;&quot;No&quot;"/>
    <numFmt numFmtId="178" formatCode="&quot;On&quot;;&quot;On&quot;;&quot;Off&quot;"/>
    <numFmt numFmtId="179" formatCode="[$€-2]\ #,##0.00_);[Red]\([$€-2]\ #,##0.00\)"/>
    <numFmt numFmtId="180" formatCode="#,##0.00\ &quot;kn&quot;"/>
    <numFmt numFmtId="181" formatCode="#,##0.00\ [$EUR]"/>
  </numFmts>
  <fonts count="64">
    <font>
      <sz val="10"/>
      <name val="Arial"/>
      <family val="0"/>
    </font>
    <font>
      <u val="single"/>
      <sz val="10"/>
      <color indexed="12"/>
      <name val="Arial"/>
      <family val="2"/>
    </font>
    <font>
      <sz val="8"/>
      <name val="Times New Roman"/>
      <family val="1"/>
    </font>
    <font>
      <sz val="10"/>
      <name val="Times New Roman"/>
      <family val="1"/>
    </font>
    <font>
      <b/>
      <sz val="10"/>
      <name val="Times New Roman"/>
      <family val="1"/>
    </font>
    <font>
      <b/>
      <sz val="12"/>
      <name val="Times New Roman"/>
      <family val="1"/>
    </font>
    <font>
      <b/>
      <sz val="11"/>
      <name val="Times New Roman"/>
      <family val="1"/>
    </font>
    <font>
      <sz val="11"/>
      <name val="Times New Roman"/>
      <family val="1"/>
    </font>
    <font>
      <sz val="9"/>
      <name val="Tahoma"/>
      <family val="0"/>
    </font>
    <font>
      <b/>
      <sz val="9"/>
      <name val="Tahoma"/>
      <family val="0"/>
    </font>
    <font>
      <sz val="9"/>
      <name val="Segoe UI"/>
      <family val="0"/>
    </font>
    <font>
      <b/>
      <sz val="9"/>
      <name val="Segoe UI"/>
      <family val="0"/>
    </font>
    <font>
      <sz val="10"/>
      <name val="Verdana"/>
      <family val="2"/>
    </font>
    <font>
      <b/>
      <sz val="14"/>
      <name val="Times New Roman"/>
      <family val="1"/>
    </font>
    <font>
      <b/>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Times New Roman"/>
      <family val="1"/>
    </font>
    <font>
      <b/>
      <sz val="11"/>
      <color indexed="8"/>
      <name val="Times New Roman"/>
      <family val="1"/>
    </font>
    <font>
      <sz val="10"/>
      <color indexed="22"/>
      <name val="Times New Roman"/>
      <family val="1"/>
    </font>
    <font>
      <b/>
      <sz val="11"/>
      <color indexed="22"/>
      <name val="Times New Roman"/>
      <family val="1"/>
    </font>
    <font>
      <b/>
      <sz val="10"/>
      <color indexed="8"/>
      <name val="Times New Roman"/>
      <family val="1"/>
    </font>
    <font>
      <b/>
      <sz val="10"/>
      <color indexed="8"/>
      <name val="Verdan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Times New Roman"/>
      <family val="1"/>
    </font>
    <font>
      <b/>
      <sz val="11"/>
      <color theme="1"/>
      <name val="Times New Roman"/>
      <family val="1"/>
    </font>
    <font>
      <sz val="10"/>
      <color theme="0" tint="-0.04997999966144562"/>
      <name val="Times New Roman"/>
      <family val="1"/>
    </font>
    <font>
      <b/>
      <sz val="11"/>
      <color theme="0" tint="-0.04997999966144562"/>
      <name val="Times New Roman"/>
      <family val="1"/>
    </font>
    <font>
      <b/>
      <sz val="10"/>
      <color theme="1"/>
      <name val="Times New Roman"/>
      <family val="1"/>
    </font>
    <font>
      <b/>
      <sz val="10"/>
      <color theme="1"/>
      <name val="Verdana"/>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bottom style="thin"/>
    </border>
    <border>
      <left style="thin"/>
      <right/>
      <top style="thin"/>
      <bottom style="thin"/>
    </border>
    <border>
      <left style="thin"/>
      <right style="medium"/>
      <top style="thin"/>
      <bottom style="thin"/>
    </border>
    <border>
      <left style="thin"/>
      <right style="medium"/>
      <top style="thin"/>
      <bottom style="medium"/>
    </border>
    <border>
      <left style="thin"/>
      <right/>
      <top/>
      <bottom style="thin"/>
    </border>
    <border>
      <left style="thin"/>
      <right style="medium"/>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0" fillId="19" borderId="1" applyNumberFormat="0" applyFont="0" applyAlignment="0" applyProtection="0"/>
    <xf numFmtId="0" fontId="41" fillId="20" borderId="0" applyNumberFormat="0" applyBorder="0" applyAlignment="0" applyProtection="0"/>
    <xf numFmtId="0" fontId="1" fillId="0" borderId="0" applyNumberFormat="0" applyFill="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2" fillId="27" borderId="2" applyNumberFormat="0" applyAlignment="0" applyProtection="0"/>
    <xf numFmtId="0" fontId="43" fillId="27" borderId="3"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9" fontId="0" fillId="0" borderId="0" applyFont="0" applyFill="0" applyBorder="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30" borderId="8"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12">
    <xf numFmtId="0" fontId="0" fillId="0" borderId="0" xfId="0" applyAlignment="1">
      <alignment/>
    </xf>
    <xf numFmtId="4" fontId="2" fillId="0" borderId="0" xfId="0" applyNumberFormat="1" applyFont="1" applyAlignment="1">
      <alignment/>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vertical="center"/>
    </xf>
    <xf numFmtId="2" fontId="0" fillId="0" borderId="0" xfId="0" applyNumberFormat="1" applyAlignment="1">
      <alignment/>
    </xf>
    <xf numFmtId="4" fontId="4" fillId="32" borderId="10" xfId="0" applyNumberFormat="1" applyFont="1" applyFill="1" applyBorder="1" applyAlignment="1">
      <alignment horizontal="center"/>
    </xf>
    <xf numFmtId="0" fontId="4" fillId="33" borderId="11" xfId="0" applyFont="1" applyFill="1" applyBorder="1" applyAlignment="1">
      <alignment vertical="center" wrapText="1"/>
    </xf>
    <xf numFmtId="0" fontId="3" fillId="0" borderId="11" xfId="0" applyFont="1" applyBorder="1" applyAlignment="1">
      <alignment vertical="center" wrapText="1"/>
    </xf>
    <xf numFmtId="0" fontId="3" fillId="0" borderId="11" xfId="0" applyFont="1" applyFill="1" applyBorder="1" applyAlignment="1">
      <alignment vertical="center" wrapText="1"/>
    </xf>
    <xf numFmtId="0" fontId="3" fillId="34" borderId="11" xfId="0" applyFont="1" applyFill="1" applyBorder="1" applyAlignment="1">
      <alignment vertical="center" wrapText="1"/>
    </xf>
    <xf numFmtId="0" fontId="4" fillId="32" borderId="11" xfId="0" applyFont="1" applyFill="1" applyBorder="1" applyAlignment="1">
      <alignment vertical="center" wrapText="1"/>
    </xf>
    <xf numFmtId="0" fontId="4" fillId="32" borderId="10" xfId="0" applyNumberFormat="1" applyFont="1" applyFill="1" applyBorder="1" applyAlignment="1">
      <alignment horizontal="center"/>
    </xf>
    <xf numFmtId="0" fontId="4"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34" borderId="12" xfId="0" applyFont="1" applyFill="1" applyBorder="1" applyAlignment="1">
      <alignment horizontal="center" vertical="center"/>
    </xf>
    <xf numFmtId="49" fontId="4" fillId="32" borderId="12"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0" fontId="4" fillId="13" borderId="13" xfId="0" applyFont="1" applyFill="1" applyBorder="1" applyAlignment="1">
      <alignment horizontal="center" vertical="center"/>
    </xf>
    <xf numFmtId="0" fontId="4" fillId="13" borderId="14" xfId="0" applyFont="1" applyFill="1" applyBorder="1" applyAlignment="1">
      <alignmen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vertical="center" wrapText="1"/>
    </xf>
    <xf numFmtId="49" fontId="3" fillId="32" borderId="10" xfId="0" applyNumberFormat="1" applyFont="1" applyFill="1" applyBorder="1" applyAlignment="1">
      <alignment horizontal="center" vertical="center"/>
    </xf>
    <xf numFmtId="0" fontId="4" fillId="32" borderId="10"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180" fontId="7" fillId="0" borderId="17" xfId="0" applyNumberFormat="1" applyFont="1" applyBorder="1" applyAlignment="1">
      <alignment/>
    </xf>
    <xf numFmtId="180" fontId="7" fillId="0" borderId="11" xfId="0" applyNumberFormat="1" applyFont="1" applyBorder="1" applyAlignment="1">
      <alignment/>
    </xf>
    <xf numFmtId="180" fontId="7" fillId="0" borderId="18" xfId="0" applyNumberFormat="1" applyFont="1" applyBorder="1" applyAlignment="1">
      <alignment/>
    </xf>
    <xf numFmtId="180" fontId="6" fillId="33" borderId="17" xfId="0" applyNumberFormat="1" applyFont="1" applyFill="1" applyBorder="1" applyAlignment="1">
      <alignment/>
    </xf>
    <xf numFmtId="180" fontId="6" fillId="33" borderId="18" xfId="0" applyNumberFormat="1" applyFont="1" applyFill="1" applyBorder="1" applyAlignment="1">
      <alignment/>
    </xf>
    <xf numFmtId="180" fontId="6" fillId="13" borderId="14" xfId="0" applyNumberFormat="1" applyFont="1" applyFill="1" applyBorder="1" applyAlignment="1">
      <alignment/>
    </xf>
    <xf numFmtId="180" fontId="6" fillId="13" borderId="19" xfId="0" applyNumberFormat="1" applyFont="1" applyFill="1" applyBorder="1" applyAlignment="1">
      <alignment/>
    </xf>
    <xf numFmtId="180" fontId="6" fillId="33" borderId="16" xfId="0" applyNumberFormat="1" applyFont="1" applyFill="1" applyBorder="1" applyAlignment="1">
      <alignment/>
    </xf>
    <xf numFmtId="180" fontId="6" fillId="33" borderId="20" xfId="0" applyNumberFormat="1" applyFont="1" applyFill="1" applyBorder="1" applyAlignment="1">
      <alignment horizontal="right"/>
    </xf>
    <xf numFmtId="180" fontId="6" fillId="33" borderId="21" xfId="0" applyNumberFormat="1" applyFont="1" applyFill="1" applyBorder="1" applyAlignment="1">
      <alignment horizontal="right"/>
    </xf>
    <xf numFmtId="180" fontId="6" fillId="33" borderId="11" xfId="0" applyNumberFormat="1" applyFont="1" applyFill="1" applyBorder="1" applyAlignment="1">
      <alignment/>
    </xf>
    <xf numFmtId="180" fontId="6" fillId="32" borderId="11" xfId="0" applyNumberFormat="1" applyFont="1" applyFill="1" applyBorder="1" applyAlignment="1">
      <alignment horizontal="center"/>
    </xf>
    <xf numFmtId="180" fontId="6" fillId="32" borderId="17" xfId="0" applyNumberFormat="1" applyFont="1" applyFill="1" applyBorder="1" applyAlignment="1">
      <alignment horizontal="center"/>
    </xf>
    <xf numFmtId="180" fontId="6" fillId="32" borderId="18" xfId="0" applyNumberFormat="1" applyFont="1" applyFill="1" applyBorder="1" applyAlignment="1">
      <alignment horizontal="center"/>
    </xf>
    <xf numFmtId="180" fontId="6" fillId="13" borderId="22" xfId="0" applyNumberFormat="1" applyFont="1" applyFill="1" applyBorder="1" applyAlignment="1">
      <alignment/>
    </xf>
    <xf numFmtId="180" fontId="57" fillId="0" borderId="11" xfId="0" applyNumberFormat="1" applyFont="1" applyBorder="1" applyAlignment="1">
      <alignment/>
    </xf>
    <xf numFmtId="180" fontId="57" fillId="0" borderId="18" xfId="0" applyNumberFormat="1" applyFont="1" applyBorder="1" applyAlignment="1">
      <alignment/>
    </xf>
    <xf numFmtId="180" fontId="57" fillId="0" borderId="11" xfId="0" applyNumberFormat="1" applyFont="1" applyBorder="1" applyAlignment="1">
      <alignment horizontal="right"/>
    </xf>
    <xf numFmtId="3" fontId="0" fillId="0" borderId="0" xfId="0" applyNumberFormat="1" applyAlignment="1">
      <alignment/>
    </xf>
    <xf numFmtId="0" fontId="0" fillId="0" borderId="0" xfId="0" applyBorder="1" applyAlignment="1">
      <alignment/>
    </xf>
    <xf numFmtId="0" fontId="3" fillId="32" borderId="12" xfId="0" applyFont="1" applyFill="1" applyBorder="1" applyAlignment="1">
      <alignment horizontal="center" vertical="center"/>
    </xf>
    <xf numFmtId="180" fontId="58" fillId="32" borderId="11" xfId="0" applyNumberFormat="1" applyFont="1" applyFill="1" applyBorder="1" applyAlignment="1">
      <alignment horizontal="center" vertical="center"/>
    </xf>
    <xf numFmtId="180" fontId="6" fillId="32" borderId="17" xfId="0" applyNumberFormat="1" applyFont="1" applyFill="1" applyBorder="1" applyAlignment="1">
      <alignment horizontal="center" vertical="center"/>
    </xf>
    <xf numFmtId="180" fontId="6" fillId="32" borderId="18" xfId="0" applyNumberFormat="1" applyFont="1" applyFill="1" applyBorder="1" applyAlignment="1">
      <alignment horizontal="center" vertical="center"/>
    </xf>
    <xf numFmtId="180" fontId="57" fillId="0" borderId="11" xfId="0" applyNumberFormat="1" applyFont="1" applyBorder="1" applyAlignment="1">
      <alignment horizontal="right" vertical="center"/>
    </xf>
    <xf numFmtId="180" fontId="7" fillId="0" borderId="17" xfId="0" applyNumberFormat="1" applyFont="1" applyBorder="1" applyAlignment="1">
      <alignment horizontal="right" vertical="center"/>
    </xf>
    <xf numFmtId="180" fontId="7" fillId="0" borderId="18" xfId="0" applyNumberFormat="1" applyFont="1" applyBorder="1" applyAlignment="1">
      <alignment horizontal="right" vertical="center"/>
    </xf>
    <xf numFmtId="180" fontId="57" fillId="34" borderId="11" xfId="0" applyNumberFormat="1" applyFont="1" applyFill="1" applyBorder="1" applyAlignment="1">
      <alignment/>
    </xf>
    <xf numFmtId="0" fontId="59" fillId="33" borderId="12" xfId="0" applyFont="1" applyFill="1" applyBorder="1" applyAlignment="1">
      <alignment horizontal="center" vertical="center"/>
    </xf>
    <xf numFmtId="180" fontId="60" fillId="33" borderId="17" xfId="0" applyNumberFormat="1" applyFont="1" applyFill="1" applyBorder="1" applyAlignment="1">
      <alignment horizontal="center" vertical="center"/>
    </xf>
    <xf numFmtId="180" fontId="60" fillId="33" borderId="18" xfId="0" applyNumberFormat="1" applyFont="1" applyFill="1" applyBorder="1" applyAlignment="1">
      <alignment horizontal="center" vertical="center"/>
    </xf>
    <xf numFmtId="0" fontId="61" fillId="33" borderId="11" xfId="0" applyFont="1" applyFill="1" applyBorder="1" applyAlignment="1">
      <alignment vertical="center" wrapText="1"/>
    </xf>
    <xf numFmtId="180" fontId="58" fillId="33" borderId="11" xfId="0" applyNumberFormat="1" applyFont="1" applyFill="1" applyBorder="1" applyAlignment="1">
      <alignment horizontal="right" vertical="center"/>
    </xf>
    <xf numFmtId="180" fontId="58" fillId="33" borderId="17" xfId="0" applyNumberFormat="1" applyFont="1" applyFill="1" applyBorder="1" applyAlignment="1">
      <alignment horizontal="center" vertical="center"/>
    </xf>
    <xf numFmtId="181" fontId="57" fillId="0" borderId="11" xfId="0" applyNumberFormat="1" applyFont="1" applyBorder="1" applyAlignment="1">
      <alignment/>
    </xf>
    <xf numFmtId="181" fontId="6" fillId="33" borderId="16" xfId="0" applyNumberFormat="1" applyFont="1" applyFill="1" applyBorder="1" applyAlignment="1">
      <alignment/>
    </xf>
    <xf numFmtId="181" fontId="6" fillId="33" borderId="11" xfId="0" applyNumberFormat="1" applyFont="1" applyFill="1" applyBorder="1" applyAlignment="1">
      <alignment/>
    </xf>
    <xf numFmtId="181" fontId="57" fillId="0" borderId="11" xfId="0" applyNumberFormat="1" applyFont="1" applyBorder="1" applyAlignment="1">
      <alignment horizontal="right"/>
    </xf>
    <xf numFmtId="181" fontId="57" fillId="34" borderId="11" xfId="0" applyNumberFormat="1" applyFont="1" applyFill="1" applyBorder="1" applyAlignment="1">
      <alignment/>
    </xf>
    <xf numFmtId="181" fontId="6" fillId="33" borderId="20" xfId="0" applyNumberFormat="1" applyFont="1" applyFill="1" applyBorder="1" applyAlignment="1">
      <alignment horizontal="right"/>
    </xf>
    <xf numFmtId="181" fontId="6" fillId="33" borderId="21" xfId="0" applyNumberFormat="1" applyFont="1" applyFill="1" applyBorder="1" applyAlignment="1">
      <alignment horizontal="right"/>
    </xf>
    <xf numFmtId="181" fontId="7" fillId="0" borderId="17" xfId="0" applyNumberFormat="1" applyFont="1" applyBorder="1" applyAlignment="1">
      <alignment/>
    </xf>
    <xf numFmtId="181" fontId="57" fillId="0" borderId="18" xfId="0" applyNumberFormat="1" applyFont="1" applyBorder="1" applyAlignment="1">
      <alignment/>
    </xf>
    <xf numFmtId="181" fontId="6" fillId="33" borderId="17" xfId="0" applyNumberFormat="1" applyFont="1" applyFill="1" applyBorder="1" applyAlignment="1">
      <alignment/>
    </xf>
    <xf numFmtId="181" fontId="6" fillId="33" borderId="18" xfId="0" applyNumberFormat="1" applyFont="1" applyFill="1" applyBorder="1" applyAlignment="1">
      <alignment/>
    </xf>
    <xf numFmtId="181" fontId="7" fillId="0" borderId="11" xfId="0" applyNumberFormat="1" applyFont="1" applyBorder="1" applyAlignment="1">
      <alignment/>
    </xf>
    <xf numFmtId="181" fontId="7" fillId="0" borderId="18" xfId="0" applyNumberFormat="1" applyFont="1" applyBorder="1" applyAlignment="1">
      <alignment/>
    </xf>
    <xf numFmtId="181" fontId="58" fillId="33" borderId="11" xfId="0" applyNumberFormat="1" applyFont="1" applyFill="1" applyBorder="1" applyAlignment="1">
      <alignment horizontal="right" vertical="center"/>
    </xf>
    <xf numFmtId="181" fontId="60" fillId="33" borderId="17" xfId="0" applyNumberFormat="1" applyFont="1" applyFill="1" applyBorder="1" applyAlignment="1">
      <alignment horizontal="center" vertical="center"/>
    </xf>
    <xf numFmtId="181" fontId="58" fillId="33" borderId="17" xfId="0" applyNumberFormat="1" applyFont="1" applyFill="1" applyBorder="1" applyAlignment="1">
      <alignment horizontal="center" vertical="center"/>
    </xf>
    <xf numFmtId="181" fontId="60" fillId="33" borderId="18" xfId="0" applyNumberFormat="1" applyFont="1" applyFill="1" applyBorder="1" applyAlignment="1">
      <alignment horizontal="center" vertical="center"/>
    </xf>
    <xf numFmtId="181" fontId="57" fillId="0" borderId="11" xfId="0" applyNumberFormat="1" applyFont="1" applyBorder="1" applyAlignment="1">
      <alignment horizontal="right" vertical="center"/>
    </xf>
    <xf numFmtId="181" fontId="7" fillId="0" borderId="17"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6" fillId="13" borderId="14" xfId="0" applyNumberFormat="1" applyFont="1" applyFill="1" applyBorder="1" applyAlignment="1">
      <alignment/>
    </xf>
    <xf numFmtId="181" fontId="6" fillId="13" borderId="22" xfId="0" applyNumberFormat="1" applyFont="1" applyFill="1" applyBorder="1" applyAlignment="1">
      <alignment/>
    </xf>
    <xf numFmtId="181" fontId="6" fillId="13" borderId="19" xfId="0" applyNumberFormat="1" applyFont="1" applyFill="1" applyBorder="1" applyAlignment="1">
      <alignment/>
    </xf>
    <xf numFmtId="0" fontId="0" fillId="0" borderId="0" xfId="0" applyNumberFormat="1" applyAlignment="1">
      <alignment/>
    </xf>
    <xf numFmtId="180" fontId="0" fillId="0" borderId="0" xfId="0" applyNumberFormat="1" applyAlignment="1">
      <alignment/>
    </xf>
    <xf numFmtId="0" fontId="3" fillId="0" borderId="0" xfId="0" applyFont="1" applyBorder="1" applyAlignment="1">
      <alignment vertical="center"/>
    </xf>
    <xf numFmtId="0" fontId="12" fillId="0" borderId="0" xfId="0" applyFont="1" applyAlignment="1">
      <alignment/>
    </xf>
    <xf numFmtId="0" fontId="62" fillId="33" borderId="23" xfId="0" applyFont="1" applyFill="1" applyBorder="1" applyAlignment="1">
      <alignment horizontal="center" vertical="center"/>
    </xf>
    <xf numFmtId="0" fontId="62" fillId="33" borderId="24" xfId="0" applyFont="1" applyFill="1" applyBorder="1" applyAlignment="1">
      <alignment horizontal="center" vertical="center"/>
    </xf>
    <xf numFmtId="0" fontId="62" fillId="33" borderId="25" xfId="0" applyFont="1" applyFill="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xf>
    <xf numFmtId="0" fontId="12" fillId="0" borderId="11" xfId="0" applyFont="1" applyBorder="1" applyAlignment="1">
      <alignment wrapText="1"/>
    </xf>
    <xf numFmtId="0" fontId="12" fillId="0" borderId="13" xfId="0" applyFont="1" applyBorder="1" applyAlignment="1">
      <alignment horizontal="center" vertical="center"/>
    </xf>
    <xf numFmtId="0" fontId="62" fillId="0" borderId="14" xfId="0" applyFont="1" applyBorder="1" applyAlignment="1">
      <alignment horizontal="left" vertical="center"/>
    </xf>
    <xf numFmtId="181" fontId="12" fillId="0" borderId="11" xfId="0" applyNumberFormat="1" applyFont="1" applyBorder="1" applyAlignment="1">
      <alignment horizontal="center" vertical="center"/>
    </xf>
    <xf numFmtId="181" fontId="12" fillId="0" borderId="18" xfId="0" applyNumberFormat="1" applyFont="1" applyBorder="1" applyAlignment="1">
      <alignment horizontal="center" vertical="center"/>
    </xf>
    <xf numFmtId="181" fontId="62" fillId="0" borderId="14" xfId="0" applyNumberFormat="1" applyFont="1" applyBorder="1" applyAlignment="1">
      <alignment horizontal="center" vertical="center"/>
    </xf>
    <xf numFmtId="181" fontId="62" fillId="0" borderId="19" xfId="0" applyNumberFormat="1" applyFont="1" applyBorder="1" applyAlignment="1">
      <alignment horizontal="center" vertical="center"/>
    </xf>
    <xf numFmtId="0" fontId="61" fillId="33" borderId="12" xfId="0" applyFont="1" applyFill="1" applyBorder="1" applyAlignment="1">
      <alignment horizontal="center" vertical="center"/>
    </xf>
    <xf numFmtId="0" fontId="13" fillId="32" borderId="10" xfId="0" applyNumberFormat="1" applyFont="1" applyFill="1" applyBorder="1" applyAlignment="1">
      <alignment horizontal="center" vertical="center"/>
    </xf>
    <xf numFmtId="181" fontId="57" fillId="0" borderId="11" xfId="0" applyNumberFormat="1" applyFont="1" applyBorder="1" applyAlignment="1">
      <alignment vertical="center"/>
    </xf>
    <xf numFmtId="0" fontId="5" fillId="0" borderId="26" xfId="0" applyFont="1" applyBorder="1" applyAlignment="1">
      <alignment horizontal="left" wrapText="1"/>
    </xf>
    <xf numFmtId="0" fontId="62" fillId="0" borderId="27" xfId="0" applyFont="1" applyBorder="1" applyAlignment="1">
      <alignment horizontal="left" vertical="center"/>
    </xf>
    <xf numFmtId="0" fontId="62" fillId="0" borderId="28" xfId="0" applyFont="1" applyBorder="1" applyAlignment="1">
      <alignment horizontal="left" vertical="center"/>
    </xf>
    <xf numFmtId="0" fontId="62" fillId="0" borderId="29" xfId="0" applyFont="1" applyBorder="1" applyAlignment="1">
      <alignment horizontal="left" vertical="center"/>
    </xf>
    <xf numFmtId="0" fontId="0" fillId="0" borderId="0" xfId="0" applyFont="1" applyAlignment="1">
      <alignment horizontal="left"/>
    </xf>
    <xf numFmtId="0" fontId="0" fillId="0" borderId="0" xfId="0" applyAlignment="1">
      <alignment horizontal="lef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zoomScalePageLayoutView="0" workbookViewId="0" topLeftCell="A8">
      <selection activeCell="J8" sqref="J8"/>
    </sheetView>
  </sheetViews>
  <sheetFormatPr defaultColWidth="9.140625" defaultRowHeight="12.75"/>
  <cols>
    <col min="2" max="2" width="16.8515625" style="0" customWidth="1"/>
    <col min="3" max="3" width="24.7109375" style="0" customWidth="1"/>
    <col min="4" max="6" width="20.7109375" style="0" customWidth="1"/>
  </cols>
  <sheetData>
    <row r="2" spans="2:6" ht="12.75">
      <c r="B2" s="2" t="s">
        <v>21</v>
      </c>
      <c r="C2" s="5"/>
      <c r="D2" s="1"/>
      <c r="E2" s="7"/>
      <c r="F2" s="87"/>
    </row>
    <row r="3" spans="2:5" ht="12.75">
      <c r="B3" s="2" t="s">
        <v>22</v>
      </c>
      <c r="C3" s="5"/>
      <c r="D3" s="1"/>
      <c r="E3" s="7"/>
    </row>
    <row r="4" spans="2:5" ht="12.75">
      <c r="B4" s="3"/>
      <c r="C4" s="5"/>
      <c r="D4" s="1"/>
      <c r="E4" s="7"/>
    </row>
    <row r="5" spans="2:5" ht="15.75" thickBot="1">
      <c r="B5" s="106" t="s">
        <v>75</v>
      </c>
      <c r="C5" s="106"/>
      <c r="D5" s="106"/>
      <c r="E5" s="7"/>
    </row>
    <row r="6" spans="2:6" ht="47.25" customHeight="1" thickBot="1">
      <c r="B6" s="25" t="s">
        <v>28</v>
      </c>
      <c r="C6" s="26" t="s">
        <v>29</v>
      </c>
      <c r="D6" s="104">
        <v>2023</v>
      </c>
      <c r="E6" s="104">
        <v>2024</v>
      </c>
      <c r="F6" s="104">
        <v>2025</v>
      </c>
    </row>
    <row r="7" spans="2:6" ht="27" customHeight="1">
      <c r="B7" s="23">
        <v>31</v>
      </c>
      <c r="C7" s="24" t="s">
        <v>52</v>
      </c>
      <c r="D7" s="65">
        <v>874842.39</v>
      </c>
      <c r="E7" s="69">
        <v>876362.73</v>
      </c>
      <c r="F7" s="70">
        <v>880558.4</v>
      </c>
    </row>
    <row r="8" spans="2:6" ht="27" customHeight="1">
      <c r="B8" s="15">
        <v>32</v>
      </c>
      <c r="C8" s="9" t="s">
        <v>27</v>
      </c>
      <c r="D8" s="66">
        <v>338317.07</v>
      </c>
      <c r="E8" s="73">
        <v>242869.46</v>
      </c>
      <c r="F8" s="74">
        <v>256938.08</v>
      </c>
    </row>
    <row r="9" spans="2:6" ht="27" customHeight="1">
      <c r="B9" s="15">
        <v>34</v>
      </c>
      <c r="C9" s="9" t="s">
        <v>31</v>
      </c>
      <c r="D9" s="66">
        <v>995.42</v>
      </c>
      <c r="E9" s="73">
        <v>1061.78</v>
      </c>
      <c r="F9" s="74">
        <v>1061.78</v>
      </c>
    </row>
    <row r="10" spans="2:6" ht="27" customHeight="1">
      <c r="B10" s="15">
        <v>42</v>
      </c>
      <c r="C10" s="9" t="s">
        <v>33</v>
      </c>
      <c r="D10" s="66">
        <v>7731.1</v>
      </c>
      <c r="E10" s="73">
        <v>11945.05</v>
      </c>
      <c r="F10" s="74">
        <v>11945.05</v>
      </c>
    </row>
    <row r="11" spans="2:6" ht="26.25">
      <c r="B11" s="19" t="s">
        <v>34</v>
      </c>
      <c r="C11" s="13" t="s">
        <v>35</v>
      </c>
      <c r="D11" s="41" t="s">
        <v>72</v>
      </c>
      <c r="E11" s="42" t="s">
        <v>38</v>
      </c>
      <c r="F11" s="43" t="s">
        <v>38</v>
      </c>
    </row>
    <row r="12" spans="2:6" ht="17.25" customHeight="1">
      <c r="B12" s="15">
        <v>32</v>
      </c>
      <c r="C12" s="9" t="s">
        <v>27</v>
      </c>
      <c r="D12" s="66">
        <v>14931.32</v>
      </c>
      <c r="E12" s="73">
        <v>4711.66</v>
      </c>
      <c r="F12" s="74">
        <v>4711.66</v>
      </c>
    </row>
    <row r="13" spans="2:6" ht="26.25">
      <c r="B13" s="19" t="s">
        <v>56</v>
      </c>
      <c r="C13" s="13" t="s">
        <v>57</v>
      </c>
      <c r="D13" s="41" t="s">
        <v>72</v>
      </c>
      <c r="E13" s="42" t="s">
        <v>38</v>
      </c>
      <c r="F13" s="43" t="s">
        <v>38</v>
      </c>
    </row>
    <row r="14" spans="2:6" ht="21.75" customHeight="1">
      <c r="B14" s="20">
        <v>32</v>
      </c>
      <c r="C14" s="9" t="s">
        <v>27</v>
      </c>
      <c r="D14" s="66">
        <v>4977.11</v>
      </c>
      <c r="E14" s="73">
        <v>5176.19</v>
      </c>
      <c r="F14" s="74">
        <v>5176.19</v>
      </c>
    </row>
    <row r="15" spans="2:6" ht="26.25">
      <c r="B15" s="50"/>
      <c r="C15" s="13" t="s">
        <v>76</v>
      </c>
      <c r="D15" s="51" t="s">
        <v>72</v>
      </c>
      <c r="E15" s="52" t="s">
        <v>38</v>
      </c>
      <c r="F15" s="53" t="s">
        <v>38</v>
      </c>
    </row>
    <row r="16" spans="2:6" ht="21" customHeight="1">
      <c r="B16" s="103">
        <v>32</v>
      </c>
      <c r="C16" s="61" t="s">
        <v>27</v>
      </c>
      <c r="D16" s="77">
        <v>130997.41</v>
      </c>
      <c r="E16" s="78"/>
      <c r="F16" s="80"/>
    </row>
    <row r="17" spans="2:6" ht="21" customHeight="1">
      <c r="B17" s="103">
        <v>42</v>
      </c>
      <c r="C17" s="61" t="s">
        <v>78</v>
      </c>
      <c r="D17" s="77">
        <v>19244.81</v>
      </c>
      <c r="E17" s="78"/>
      <c r="F17" s="80"/>
    </row>
    <row r="18" spans="2:6" ht="26.25">
      <c r="B18" s="19" t="s">
        <v>36</v>
      </c>
      <c r="C18" s="13" t="s">
        <v>37</v>
      </c>
      <c r="D18" s="41" t="s">
        <v>68</v>
      </c>
      <c r="E18" s="42" t="s">
        <v>38</v>
      </c>
      <c r="F18" s="43" t="s">
        <v>38</v>
      </c>
    </row>
    <row r="19" spans="2:6" ht="21.75" customHeight="1">
      <c r="B19" s="15">
        <v>32</v>
      </c>
      <c r="C19" s="9" t="s">
        <v>27</v>
      </c>
      <c r="D19" s="66">
        <v>6636.14</v>
      </c>
      <c r="E19" s="73">
        <v>6636.14</v>
      </c>
      <c r="F19" s="74">
        <v>6636.14</v>
      </c>
    </row>
    <row r="20" spans="2:6" ht="26.25" customHeight="1" thickBot="1">
      <c r="B20" s="21"/>
      <c r="C20" s="22" t="s">
        <v>17</v>
      </c>
      <c r="D20" s="84">
        <f>SUM(D7:D9,D10,D12,D14,D16,D17,D19)</f>
        <v>1398672.77</v>
      </c>
      <c r="E20" s="84">
        <f>SUM(E7,E8,E9,E10,E12,E14,E19)</f>
        <v>1148763.0099999998</v>
      </c>
      <c r="F20" s="86">
        <f>SUM(F7,F8,F9,F10,F12,F14,F19)</f>
        <v>1167027.2999999998</v>
      </c>
    </row>
    <row r="21" spans="2:5" ht="12.75">
      <c r="B21" s="4"/>
      <c r="C21" s="6"/>
      <c r="E21" s="7"/>
    </row>
    <row r="22" spans="2:5" ht="12.75">
      <c r="B22" s="89" t="s">
        <v>82</v>
      </c>
      <c r="C22" s="89"/>
      <c r="D22" s="89"/>
      <c r="E22" s="7"/>
    </row>
  </sheetData>
  <sheetProtection/>
  <mergeCells count="1">
    <mergeCell ref="B5:D5"/>
  </mergeCells>
  <printOptions/>
  <pageMargins left="0.7" right="0.7" top="0.75" bottom="0.75" header="0.3" footer="0.3"/>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C1:N87"/>
  <sheetViews>
    <sheetView zoomScale="120" zoomScaleNormal="120" zoomScalePageLayoutView="0" workbookViewId="0" topLeftCell="B67">
      <selection activeCell="G85" sqref="G85"/>
    </sheetView>
  </sheetViews>
  <sheetFormatPr defaultColWidth="9.140625" defaultRowHeight="12.75"/>
  <cols>
    <col min="1" max="2" width="2.57421875" style="0" customWidth="1"/>
    <col min="3" max="3" width="10.421875" style="4" customWidth="1"/>
    <col min="4" max="4" width="41.7109375" style="6" customWidth="1"/>
    <col min="5" max="5" width="18.57421875" style="0" customWidth="1"/>
    <col min="6" max="6" width="15.421875" style="0" customWidth="1"/>
    <col min="7" max="7" width="17.421875" style="0" bestFit="1" customWidth="1"/>
    <col min="8" max="8" width="17.421875" style="7" bestFit="1" customWidth="1"/>
    <col min="9" max="9" width="17.421875" style="0" bestFit="1" customWidth="1"/>
    <col min="10" max="13" width="1.8515625" style="0" customWidth="1"/>
    <col min="14" max="14" width="17.8515625" style="0" customWidth="1"/>
    <col min="15" max="17" width="1.8515625" style="0" customWidth="1"/>
    <col min="18" max="18" width="3.28125" style="0" customWidth="1"/>
    <col min="19" max="19" width="5.28125" style="0" customWidth="1"/>
  </cols>
  <sheetData>
    <row r="1" spans="3:9" ht="12.75">
      <c r="C1" s="2" t="s">
        <v>21</v>
      </c>
      <c r="D1" s="5"/>
      <c r="E1" s="1"/>
      <c r="I1" s="87"/>
    </row>
    <row r="2" spans="3:5" ht="12.75">
      <c r="C2" s="2" t="s">
        <v>22</v>
      </c>
      <c r="D2" s="5"/>
      <c r="E2" s="1"/>
    </row>
    <row r="3" spans="3:5" ht="4.5" customHeight="1">
      <c r="C3" s="3"/>
      <c r="D3" s="5"/>
      <c r="E3" s="1"/>
    </row>
    <row r="4" spans="3:5" ht="15.75" customHeight="1" thickBot="1">
      <c r="C4" s="106" t="s">
        <v>75</v>
      </c>
      <c r="D4" s="106"/>
      <c r="E4" s="106"/>
    </row>
    <row r="5" spans="3:9" ht="12.75" customHeight="1" thickBot="1">
      <c r="C5" s="25" t="s">
        <v>28</v>
      </c>
      <c r="D5" s="26" t="s">
        <v>29</v>
      </c>
      <c r="E5" s="8" t="s">
        <v>72</v>
      </c>
      <c r="F5" s="8" t="s">
        <v>73</v>
      </c>
      <c r="G5" s="8" t="s">
        <v>38</v>
      </c>
      <c r="H5" s="14">
        <v>2024</v>
      </c>
      <c r="I5" s="14">
        <v>2025</v>
      </c>
    </row>
    <row r="6" spans="3:9" ht="12.75" customHeight="1">
      <c r="C6" s="23">
        <v>31</v>
      </c>
      <c r="D6" s="24" t="s">
        <v>52</v>
      </c>
      <c r="E6" s="65">
        <f>SUM(E7:E12)</f>
        <v>874842.3916650076</v>
      </c>
      <c r="F6" s="69">
        <f>SUM(F7:F12)</f>
        <v>0</v>
      </c>
      <c r="G6" s="69">
        <f>SUM(G7:G12)</f>
        <v>874842.3916650076</v>
      </c>
      <c r="H6" s="69">
        <f>SUM(H7:H12)</f>
        <v>876362.7314353972</v>
      </c>
      <c r="I6" s="70">
        <f>SUM(I7:I12)</f>
        <v>880558.4020173866</v>
      </c>
    </row>
    <row r="7" spans="3:14" ht="12.75" customHeight="1">
      <c r="C7" s="16">
        <v>31111</v>
      </c>
      <c r="D7" s="10" t="s">
        <v>18</v>
      </c>
      <c r="E7" s="64">
        <f>5400000/7.5345</f>
        <v>716703.1654389807</v>
      </c>
      <c r="F7" s="71"/>
      <c r="G7" s="71">
        <f aca="true" t="shared" si="0" ref="G7:G12">F7+E7</f>
        <v>716703.1654389807</v>
      </c>
      <c r="H7" s="64">
        <f>5427000/7.5345</f>
        <v>720286.6812661756</v>
      </c>
      <c r="I7" s="72">
        <f>5454135/7.5345</f>
        <v>723888.1146725065</v>
      </c>
      <c r="N7" s="88"/>
    </row>
    <row r="8" spans="3:14" ht="12.75" customHeight="1">
      <c r="C8" s="16">
        <v>31212</v>
      </c>
      <c r="D8" s="10" t="s">
        <v>58</v>
      </c>
      <c r="E8" s="64">
        <f>152500/7.5345</f>
        <v>20240.228283230474</v>
      </c>
      <c r="F8" s="71"/>
      <c r="G8" s="71">
        <f t="shared" si="0"/>
        <v>20240.228283230474</v>
      </c>
      <c r="H8" s="64">
        <f>152500/7.5345</f>
        <v>20240.228283230474</v>
      </c>
      <c r="I8" s="72">
        <f>152500/7.5345</f>
        <v>20240.228283230474</v>
      </c>
      <c r="N8" s="88"/>
    </row>
    <row r="9" spans="3:14" ht="12.75" customHeight="1">
      <c r="C9" s="16">
        <v>31213</v>
      </c>
      <c r="D9" s="10" t="s">
        <v>59</v>
      </c>
      <c r="E9" s="64">
        <f>48000/7.5345</f>
        <v>6370.69480390205</v>
      </c>
      <c r="F9" s="71"/>
      <c r="G9" s="71">
        <f t="shared" si="0"/>
        <v>6370.69480390205</v>
      </c>
      <c r="H9" s="64">
        <f>48000/7.5345</f>
        <v>6370.69480390205</v>
      </c>
      <c r="I9" s="72">
        <f>48000/7.5345</f>
        <v>6370.69480390205</v>
      </c>
      <c r="N9" s="88"/>
    </row>
    <row r="10" spans="3:14" ht="12.75" customHeight="1">
      <c r="C10" s="16">
        <v>31214</v>
      </c>
      <c r="D10" s="10" t="s">
        <v>60</v>
      </c>
      <c r="E10" s="64">
        <f>50000/7.5345</f>
        <v>6636.140420731303</v>
      </c>
      <c r="F10" s="71"/>
      <c r="G10" s="71">
        <f t="shared" si="0"/>
        <v>6636.140420731303</v>
      </c>
      <c r="H10" s="64">
        <f>50000/7.5345</f>
        <v>6636.140420731303</v>
      </c>
      <c r="I10" s="72">
        <f>50000/7.5345</f>
        <v>6636.140420731303</v>
      </c>
      <c r="N10" s="88"/>
    </row>
    <row r="11" spans="3:9" ht="12.75" customHeight="1">
      <c r="C11" s="16">
        <v>31215</v>
      </c>
      <c r="D11" s="10" t="s">
        <v>19</v>
      </c>
      <c r="E11" s="64">
        <f>50000/7.5345</f>
        <v>6636.140420731303</v>
      </c>
      <c r="F11" s="71"/>
      <c r="G11" s="71">
        <f t="shared" si="0"/>
        <v>6636.140420731303</v>
      </c>
      <c r="H11" s="64">
        <f>30000/7.5345</f>
        <v>3981.684252438781</v>
      </c>
      <c r="I11" s="72">
        <f>30000/7.5345</f>
        <v>3981.684252438781</v>
      </c>
    </row>
    <row r="12" spans="3:9" ht="12.75" customHeight="1">
      <c r="C12" s="16">
        <v>31321</v>
      </c>
      <c r="D12" s="10" t="s">
        <v>20</v>
      </c>
      <c r="E12" s="64">
        <f>891000/7.5345</f>
        <v>118256.0222974318</v>
      </c>
      <c r="F12" s="71"/>
      <c r="G12" s="71">
        <f t="shared" si="0"/>
        <v>118256.0222974318</v>
      </c>
      <c r="H12" s="64">
        <f>895455/7.5345</f>
        <v>118847.30240891897</v>
      </c>
      <c r="I12" s="72">
        <f>899932.28/7.5345</f>
        <v>119441.53958457761</v>
      </c>
    </row>
    <row r="13" spans="3:9" ht="12.75" customHeight="1">
      <c r="C13" s="15">
        <v>32</v>
      </c>
      <c r="D13" s="9" t="s">
        <v>27</v>
      </c>
      <c r="E13" s="66">
        <f>SUM(E14:E56)</f>
        <v>301154.6871710133</v>
      </c>
      <c r="F13" s="73">
        <f>SUM(F14:F56)</f>
        <v>37162.38635609529</v>
      </c>
      <c r="G13" s="73">
        <f>SUM(G14:G56)</f>
        <v>338317.07352710865</v>
      </c>
      <c r="H13" s="73">
        <f>SUM(H14:H56)</f>
        <v>242869.46499170488</v>
      </c>
      <c r="I13" s="74">
        <f>SUM(I14:I56)</f>
        <v>256938.08480987462</v>
      </c>
    </row>
    <row r="14" spans="3:9" ht="12.75" customHeight="1">
      <c r="C14" s="16">
        <v>32111</v>
      </c>
      <c r="D14" s="10" t="s">
        <v>1</v>
      </c>
      <c r="E14" s="67">
        <f>5000/7.5345</f>
        <v>663.6140420731302</v>
      </c>
      <c r="F14" s="71"/>
      <c r="G14" s="71">
        <f>F14+E14</f>
        <v>663.6140420731302</v>
      </c>
      <c r="H14" s="75">
        <f>15000/7.5345</f>
        <v>1990.8421262193906</v>
      </c>
      <c r="I14" s="76">
        <f>15000/7.5345</f>
        <v>1990.8421262193906</v>
      </c>
    </row>
    <row r="15" spans="3:9" ht="12.75" customHeight="1">
      <c r="C15" s="16">
        <v>32141</v>
      </c>
      <c r="D15" s="10" t="s">
        <v>23</v>
      </c>
      <c r="E15" s="67">
        <f>13400/7.5345</f>
        <v>1778.485632755989</v>
      </c>
      <c r="F15" s="71"/>
      <c r="G15" s="71">
        <f aca="true" t="shared" si="1" ref="G15:G56">F15+E15</f>
        <v>1778.485632755989</v>
      </c>
      <c r="H15" s="75">
        <f>31000/7.5345</f>
        <v>4114.4070608534075</v>
      </c>
      <c r="I15" s="76">
        <f>31000/7.5345</f>
        <v>4114.4070608534075</v>
      </c>
    </row>
    <row r="16" spans="3:9" ht="12.75" customHeight="1">
      <c r="C16" s="16">
        <v>32121</v>
      </c>
      <c r="D16" s="10" t="s">
        <v>0</v>
      </c>
      <c r="E16" s="67">
        <f>360000/7.5345</f>
        <v>47780.211029265374</v>
      </c>
      <c r="F16" s="71"/>
      <c r="G16" s="71">
        <f t="shared" si="1"/>
        <v>47780.211029265374</v>
      </c>
      <c r="H16" s="64">
        <f>280000/7.5345</f>
        <v>37162.386356095296</v>
      </c>
      <c r="I16" s="72">
        <f>280000/7.5345</f>
        <v>37162.386356095296</v>
      </c>
    </row>
    <row r="17" spans="3:9" ht="12.75" customHeight="1">
      <c r="C17" s="16">
        <v>32211</v>
      </c>
      <c r="D17" s="10" t="s">
        <v>2</v>
      </c>
      <c r="E17" s="67">
        <f>35000/7.5345</f>
        <v>4645.298294511912</v>
      </c>
      <c r="F17" s="71"/>
      <c r="G17" s="71">
        <f t="shared" si="1"/>
        <v>4645.298294511912</v>
      </c>
      <c r="H17" s="75">
        <f>30000/7.5345</f>
        <v>3981.684252438781</v>
      </c>
      <c r="I17" s="76">
        <f>30000/7.5345</f>
        <v>3981.684252438781</v>
      </c>
    </row>
    <row r="18" spans="3:9" ht="12.75" customHeight="1">
      <c r="C18" s="16">
        <v>32212</v>
      </c>
      <c r="D18" s="10" t="s">
        <v>3</v>
      </c>
      <c r="E18" s="67">
        <f>5000/7.5345</f>
        <v>663.6140420731302</v>
      </c>
      <c r="F18" s="71"/>
      <c r="G18" s="71">
        <f t="shared" si="1"/>
        <v>663.6140420731302</v>
      </c>
      <c r="H18" s="75">
        <f>1000/7.5345</f>
        <v>132.72280841462606</v>
      </c>
      <c r="I18" s="76">
        <f>1000/7.5345</f>
        <v>132.72280841462606</v>
      </c>
    </row>
    <row r="19" spans="3:9" ht="12.75" customHeight="1">
      <c r="C19" s="16">
        <v>32214</v>
      </c>
      <c r="D19" s="10" t="s">
        <v>4</v>
      </c>
      <c r="E19" s="67">
        <f>25000/7.5345</f>
        <v>3318.0702103656513</v>
      </c>
      <c r="F19" s="71"/>
      <c r="G19" s="71">
        <f t="shared" si="1"/>
        <v>3318.0702103656513</v>
      </c>
      <c r="H19" s="75">
        <f>20000/7.5345</f>
        <v>2654.456168292521</v>
      </c>
      <c r="I19" s="76">
        <f>20000/7.5345</f>
        <v>2654.456168292521</v>
      </c>
    </row>
    <row r="20" spans="3:9" ht="12.75" customHeight="1">
      <c r="C20" s="17">
        <v>32231</v>
      </c>
      <c r="D20" s="11" t="s">
        <v>5</v>
      </c>
      <c r="E20" s="67">
        <f>60000/7.5345</f>
        <v>7963.368504877562</v>
      </c>
      <c r="F20" s="71"/>
      <c r="G20" s="71">
        <f t="shared" si="1"/>
        <v>7963.368504877562</v>
      </c>
      <c r="H20" s="75">
        <f>50000/7.5345</f>
        <v>6636.140420731303</v>
      </c>
      <c r="I20" s="76">
        <f>50000/7.5345</f>
        <v>6636.140420731303</v>
      </c>
    </row>
    <row r="21" spans="3:9" ht="12.75" customHeight="1">
      <c r="C21" s="17">
        <v>32234</v>
      </c>
      <c r="D21" s="11" t="s">
        <v>6</v>
      </c>
      <c r="E21" s="67">
        <f>102000/7.5345</f>
        <v>13537.726458291856</v>
      </c>
      <c r="F21" s="71"/>
      <c r="G21" s="71">
        <f t="shared" si="1"/>
        <v>13537.726458291856</v>
      </c>
      <c r="H21" s="75">
        <f>80000/7.5345</f>
        <v>10617.824673170084</v>
      </c>
      <c r="I21" s="76">
        <f>80000/7.5345</f>
        <v>10617.824673170084</v>
      </c>
    </row>
    <row r="22" spans="3:9" ht="12" customHeight="1">
      <c r="C22" s="17">
        <v>32241</v>
      </c>
      <c r="D22" s="11" t="s">
        <v>45</v>
      </c>
      <c r="E22" s="67">
        <f>100000/7.5345</f>
        <v>13272.280841462605</v>
      </c>
      <c r="F22" s="71">
        <f>50000/7.5345</f>
        <v>6636.140420731303</v>
      </c>
      <c r="G22" s="71">
        <f t="shared" si="1"/>
        <v>19908.421262193908</v>
      </c>
      <c r="H22" s="75">
        <f>110000/7.5345</f>
        <v>14599.508925608865</v>
      </c>
      <c r="I22" s="76">
        <f>176000/7.5345</f>
        <v>23359.214280974185</v>
      </c>
    </row>
    <row r="23" spans="3:9" ht="12" customHeight="1">
      <c r="C23" s="17">
        <v>32242</v>
      </c>
      <c r="D23" s="11" t="s">
        <v>46</v>
      </c>
      <c r="E23" s="67">
        <f>56000/7.5345</f>
        <v>7432.477271219059</v>
      </c>
      <c r="F23" s="71">
        <f>40000/7.5345</f>
        <v>5308.912336585042</v>
      </c>
      <c r="G23" s="71">
        <f t="shared" si="1"/>
        <v>12741.3896078041</v>
      </c>
      <c r="H23" s="75">
        <f>100000/7.5345</f>
        <v>13272.280841462605</v>
      </c>
      <c r="I23" s="76">
        <f>100000/7.5345</f>
        <v>13272.280841462605</v>
      </c>
    </row>
    <row r="24" spans="3:9" ht="12.75" customHeight="1">
      <c r="C24" s="17">
        <v>32243</v>
      </c>
      <c r="D24" s="11" t="s">
        <v>30</v>
      </c>
      <c r="E24" s="67">
        <f>70000/7.5345</f>
        <v>9290.596589023824</v>
      </c>
      <c r="F24" s="71">
        <f>20000/7.5345</f>
        <v>2654.456168292521</v>
      </c>
      <c r="G24" s="71">
        <f t="shared" si="1"/>
        <v>11945.052757316345</v>
      </c>
      <c r="H24" s="75">
        <f>50000/7.5345</f>
        <v>6636.140420731303</v>
      </c>
      <c r="I24" s="76">
        <f>50000/7.5345</f>
        <v>6636.140420731303</v>
      </c>
    </row>
    <row r="25" spans="3:9" ht="12.75" customHeight="1">
      <c r="C25" s="17">
        <v>32251</v>
      </c>
      <c r="D25" s="11" t="s">
        <v>80</v>
      </c>
      <c r="E25" s="67">
        <f>103650/7.5345</f>
        <v>13756.71909217599</v>
      </c>
      <c r="F25" s="71">
        <f>40000/7.5345</f>
        <v>5308.912336585042</v>
      </c>
      <c r="G25" s="71">
        <f t="shared" si="1"/>
        <v>19065.631428761033</v>
      </c>
      <c r="H25" s="75">
        <f>130000/7.5345</f>
        <v>17253.965093901385</v>
      </c>
      <c r="I25" s="76">
        <f>170000/7.5345</f>
        <v>22562.877430486427</v>
      </c>
    </row>
    <row r="26" spans="3:9" ht="13.5">
      <c r="C26" s="17">
        <v>32271</v>
      </c>
      <c r="D26" s="11" t="s">
        <v>26</v>
      </c>
      <c r="E26" s="67">
        <f>60000/7.5345</f>
        <v>7963.368504877562</v>
      </c>
      <c r="F26" s="71"/>
      <c r="G26" s="71">
        <f t="shared" si="1"/>
        <v>7963.368504877562</v>
      </c>
      <c r="H26" s="75">
        <f>42000/7.5345</f>
        <v>5574.357953414294</v>
      </c>
      <c r="I26" s="76">
        <f>42000/7.5345</f>
        <v>5574.357953414294</v>
      </c>
    </row>
    <row r="27" spans="3:9" ht="13.5" customHeight="1">
      <c r="C27" s="16">
        <v>32311</v>
      </c>
      <c r="D27" s="10" t="s">
        <v>7</v>
      </c>
      <c r="E27" s="67">
        <f>54000/7.5345</f>
        <v>7167.031654389806</v>
      </c>
      <c r="F27" s="71"/>
      <c r="G27" s="71">
        <f t="shared" si="1"/>
        <v>7167.031654389806</v>
      </c>
      <c r="H27" s="75">
        <f>43000/7.5345</f>
        <v>5707.08076182892</v>
      </c>
      <c r="I27" s="76">
        <f>43000/7.5345</f>
        <v>5707.08076182892</v>
      </c>
    </row>
    <row r="28" spans="3:9" ht="13.5" customHeight="1">
      <c r="C28" s="16">
        <v>32313</v>
      </c>
      <c r="D28" s="10" t="s">
        <v>61</v>
      </c>
      <c r="E28" s="67">
        <f>5000/7.5345</f>
        <v>663.6140420731302</v>
      </c>
      <c r="F28" s="71"/>
      <c r="G28" s="71">
        <f t="shared" si="1"/>
        <v>663.6140420731302</v>
      </c>
      <c r="H28" s="75">
        <f>7000/7.5345</f>
        <v>929.0596589023824</v>
      </c>
      <c r="I28" s="76">
        <f>7000/7.5345</f>
        <v>929.0596589023824</v>
      </c>
    </row>
    <row r="29" spans="3:9" ht="12.75" customHeight="1">
      <c r="C29" s="16">
        <v>32322</v>
      </c>
      <c r="D29" s="10" t="s">
        <v>74</v>
      </c>
      <c r="E29" s="67">
        <f>35000/7.5345</f>
        <v>4645.298294511912</v>
      </c>
      <c r="F29" s="71"/>
      <c r="G29" s="71">
        <f t="shared" si="1"/>
        <v>4645.298294511912</v>
      </c>
      <c r="H29" s="75">
        <f>35000/7.5345</f>
        <v>4645.298294511912</v>
      </c>
      <c r="I29" s="76">
        <f>35000/7.5345</f>
        <v>4645.298294511912</v>
      </c>
    </row>
    <row r="30" spans="3:9" ht="12.75" customHeight="1">
      <c r="C30" s="16">
        <v>32329</v>
      </c>
      <c r="D30" s="10" t="s">
        <v>70</v>
      </c>
      <c r="E30" s="67">
        <f>92000/7.5345</f>
        <v>12210.498374145596</v>
      </c>
      <c r="F30" s="71"/>
      <c r="G30" s="71">
        <f t="shared" si="1"/>
        <v>12210.498374145596</v>
      </c>
      <c r="H30" s="75">
        <f>45000/7.5345</f>
        <v>5972.526378658172</v>
      </c>
      <c r="I30" s="76">
        <f>45000/7.5345</f>
        <v>5972.526378658172</v>
      </c>
    </row>
    <row r="31" spans="3:9" ht="12.75" customHeight="1">
      <c r="C31" s="16">
        <v>32334</v>
      </c>
      <c r="D31" s="10" t="s">
        <v>41</v>
      </c>
      <c r="E31" s="67">
        <f>55000/7.5345</f>
        <v>7299.7544628044325</v>
      </c>
      <c r="F31" s="71">
        <f>10000/7.5345</f>
        <v>1327.2280841462605</v>
      </c>
      <c r="G31" s="71">
        <f t="shared" si="1"/>
        <v>8626.982546950692</v>
      </c>
      <c r="H31" s="75">
        <f>35000/7.5345</f>
        <v>4645.298294511912</v>
      </c>
      <c r="I31" s="76">
        <f>35000/7.5345</f>
        <v>4645.298294511912</v>
      </c>
    </row>
    <row r="32" spans="3:9" ht="12.75" customHeight="1">
      <c r="C32" s="16">
        <v>32339</v>
      </c>
      <c r="D32" s="10" t="s">
        <v>47</v>
      </c>
      <c r="E32" s="67">
        <f>15000/7.5345</f>
        <v>1990.8421262193906</v>
      </c>
      <c r="F32" s="71"/>
      <c r="G32" s="71">
        <f t="shared" si="1"/>
        <v>1990.8421262193906</v>
      </c>
      <c r="H32" s="75">
        <f>57000/7.5345</f>
        <v>7565.200079633684</v>
      </c>
      <c r="I32" s="76">
        <f>57000/7.5345</f>
        <v>7565.200079633684</v>
      </c>
    </row>
    <row r="33" spans="3:9" ht="12.75" customHeight="1">
      <c r="C33" s="16">
        <v>32341</v>
      </c>
      <c r="D33" s="10" t="s">
        <v>8</v>
      </c>
      <c r="E33" s="67">
        <f>10000/7.5345</f>
        <v>1327.2280841462605</v>
      </c>
      <c r="F33" s="71"/>
      <c r="G33" s="71">
        <f t="shared" si="1"/>
        <v>1327.2280841462605</v>
      </c>
      <c r="H33" s="75">
        <f>10000/7.5345</f>
        <v>1327.2280841462605</v>
      </c>
      <c r="I33" s="76">
        <f>10000/7.5345</f>
        <v>1327.2280841462605</v>
      </c>
    </row>
    <row r="34" spans="3:9" ht="12.75" customHeight="1">
      <c r="C34" s="16">
        <v>32342</v>
      </c>
      <c r="D34" s="10" t="s">
        <v>9</v>
      </c>
      <c r="E34" s="67">
        <f>25000/7.5345</f>
        <v>3318.0702103656513</v>
      </c>
      <c r="F34" s="71"/>
      <c r="G34" s="71">
        <f t="shared" si="1"/>
        <v>3318.0702103656513</v>
      </c>
      <c r="H34" s="75">
        <f>10000/7.5345</f>
        <v>1327.2280841462605</v>
      </c>
      <c r="I34" s="76">
        <f>10000/7.5345</f>
        <v>1327.2280841462605</v>
      </c>
    </row>
    <row r="35" spans="3:9" ht="12.75" customHeight="1">
      <c r="C35" s="16">
        <v>32343</v>
      </c>
      <c r="D35" s="10" t="s">
        <v>44</v>
      </c>
      <c r="E35" s="67">
        <f>10000/7.5345</f>
        <v>1327.2280841462605</v>
      </c>
      <c r="F35" s="71"/>
      <c r="G35" s="71">
        <f t="shared" si="1"/>
        <v>1327.2280841462605</v>
      </c>
      <c r="H35" s="75">
        <f>6000/7.5345</f>
        <v>796.3368504877562</v>
      </c>
      <c r="I35" s="76">
        <f>6000/7.5345</f>
        <v>796.3368504877562</v>
      </c>
    </row>
    <row r="36" spans="3:14" ht="12.75" customHeight="1">
      <c r="C36" s="16">
        <v>32344</v>
      </c>
      <c r="D36" s="10" t="s">
        <v>43</v>
      </c>
      <c r="E36" s="67">
        <f>35000/7.5345</f>
        <v>4645.298294511912</v>
      </c>
      <c r="F36" s="71"/>
      <c r="G36" s="71">
        <f t="shared" si="1"/>
        <v>4645.298294511912</v>
      </c>
      <c r="H36" s="75">
        <f>40000/7.5345</f>
        <v>5308.912336585042</v>
      </c>
      <c r="I36" s="76">
        <f>40000/7.5345</f>
        <v>5308.912336585042</v>
      </c>
      <c r="K36" s="49"/>
      <c r="L36" s="49"/>
      <c r="M36" s="49"/>
      <c r="N36" s="49"/>
    </row>
    <row r="37" spans="3:14" ht="12.75" customHeight="1">
      <c r="C37" s="16">
        <v>32347</v>
      </c>
      <c r="D37" s="10" t="s">
        <v>48</v>
      </c>
      <c r="E37" s="67">
        <f>4000/7.5345</f>
        <v>530.8912336585042</v>
      </c>
      <c r="F37" s="71"/>
      <c r="G37" s="71">
        <f t="shared" si="1"/>
        <v>530.8912336585042</v>
      </c>
      <c r="H37" s="75">
        <f>3500/7.5345</f>
        <v>464.5298294511912</v>
      </c>
      <c r="I37" s="76">
        <f>3500/7.5345</f>
        <v>464.5298294511912</v>
      </c>
      <c r="K37" s="49"/>
      <c r="L37" s="49"/>
      <c r="M37" s="49"/>
      <c r="N37" s="49"/>
    </row>
    <row r="38" spans="3:14" ht="12.75" customHeight="1">
      <c r="C38" s="17">
        <v>32349</v>
      </c>
      <c r="D38" s="10" t="s">
        <v>42</v>
      </c>
      <c r="E38" s="67">
        <f>10000/7.5345</f>
        <v>1327.2280841462605</v>
      </c>
      <c r="F38" s="71"/>
      <c r="G38" s="71">
        <f t="shared" si="1"/>
        <v>1327.2280841462605</v>
      </c>
      <c r="H38" s="75">
        <f>10000/7.5345</f>
        <v>1327.2280841462605</v>
      </c>
      <c r="I38" s="76">
        <f>10000/7.5345</f>
        <v>1327.2280841462605</v>
      </c>
      <c r="K38" s="49"/>
      <c r="L38" s="49"/>
      <c r="M38" s="49"/>
      <c r="N38" s="49"/>
    </row>
    <row r="39" spans="3:14" ht="12.75" customHeight="1">
      <c r="C39" s="16">
        <v>32353</v>
      </c>
      <c r="D39" s="10" t="s">
        <v>49</v>
      </c>
      <c r="E39" s="67">
        <f>37500/7.5345</f>
        <v>4977.105315548477</v>
      </c>
      <c r="F39" s="71">
        <f>50000/7.5345</f>
        <v>6636.140420731303</v>
      </c>
      <c r="G39" s="71">
        <f t="shared" si="1"/>
        <v>11613.24573627978</v>
      </c>
      <c r="H39" s="75">
        <f>20000/7.5345</f>
        <v>2654.456168292521</v>
      </c>
      <c r="I39" s="76">
        <f>20000/7.5345</f>
        <v>2654.456168292521</v>
      </c>
      <c r="K39" s="49"/>
      <c r="L39" s="49"/>
      <c r="M39" s="49"/>
      <c r="N39" s="49"/>
    </row>
    <row r="40" spans="3:14" ht="12.75" customHeight="1">
      <c r="C40" s="16">
        <v>32359</v>
      </c>
      <c r="D40" s="10" t="s">
        <v>79</v>
      </c>
      <c r="E40" s="67">
        <f>25000/7.5345</f>
        <v>3318.0702103656513</v>
      </c>
      <c r="F40" s="71">
        <f>10000/7.5345</f>
        <v>1327.2280841462605</v>
      </c>
      <c r="G40" s="71">
        <f t="shared" si="1"/>
        <v>4645.298294511912</v>
      </c>
      <c r="H40" s="75">
        <f>40000/7.5345</f>
        <v>5308.912336585042</v>
      </c>
      <c r="I40" s="76">
        <f>40000/7.5345</f>
        <v>5308.912336585042</v>
      </c>
      <c r="K40" s="49"/>
      <c r="L40" s="49"/>
      <c r="M40" s="49"/>
      <c r="N40" s="49"/>
    </row>
    <row r="41" spans="3:14" ht="12.75" customHeight="1">
      <c r="C41" s="16">
        <v>32361</v>
      </c>
      <c r="D41" s="10" t="s">
        <v>25</v>
      </c>
      <c r="E41" s="67">
        <f>60000/7.5345</f>
        <v>7963.368504877562</v>
      </c>
      <c r="F41" s="71"/>
      <c r="G41" s="71">
        <f t="shared" si="1"/>
        <v>7963.368504877562</v>
      </c>
      <c r="H41" s="75">
        <f>55000/7.5345</f>
        <v>7299.7544628044325</v>
      </c>
      <c r="I41" s="76">
        <f>55000/7.5345</f>
        <v>7299.7544628044325</v>
      </c>
      <c r="K41" s="49"/>
      <c r="L41" s="49"/>
      <c r="M41" s="49"/>
      <c r="N41" s="49"/>
    </row>
    <row r="42" spans="3:14" ht="12.75" customHeight="1">
      <c r="C42" s="16">
        <v>32371</v>
      </c>
      <c r="D42" s="10" t="s">
        <v>50</v>
      </c>
      <c r="E42" s="67">
        <f>15000/7.5345</f>
        <v>1990.8421262193906</v>
      </c>
      <c r="F42" s="71"/>
      <c r="G42" s="71">
        <f t="shared" si="1"/>
        <v>1990.8421262193906</v>
      </c>
      <c r="H42" s="75">
        <f>5000/7.5345</f>
        <v>663.6140420731302</v>
      </c>
      <c r="I42" s="76">
        <f>5000/7.5345</f>
        <v>663.6140420731302</v>
      </c>
      <c r="K42" s="49"/>
      <c r="L42" s="49"/>
      <c r="M42" s="49"/>
      <c r="N42" s="49"/>
    </row>
    <row r="43" spans="3:14" ht="12.75" customHeight="1">
      <c r="C43" s="16">
        <v>32372</v>
      </c>
      <c r="D43" s="10" t="s">
        <v>53</v>
      </c>
      <c r="E43" s="67">
        <f>20000/7.5345</f>
        <v>2654.456168292521</v>
      </c>
      <c r="F43" s="71">
        <f>10000/7.5345</f>
        <v>1327.2280841462605</v>
      </c>
      <c r="G43" s="71">
        <f t="shared" si="1"/>
        <v>3981.684252438781</v>
      </c>
      <c r="H43" s="75">
        <f>15000/7.5345</f>
        <v>1990.8421262193906</v>
      </c>
      <c r="I43" s="76">
        <f>15000/7.5345</f>
        <v>1990.8421262193906</v>
      </c>
      <c r="K43" s="49"/>
      <c r="L43" s="49"/>
      <c r="M43" s="49"/>
      <c r="N43" s="49"/>
    </row>
    <row r="44" spans="3:14" ht="12.75" customHeight="1">
      <c r="C44" s="16">
        <v>32374</v>
      </c>
      <c r="D44" s="10" t="s">
        <v>39</v>
      </c>
      <c r="E44" s="67">
        <f>78000/7.5345</f>
        <v>10352.379056340831</v>
      </c>
      <c r="F44" s="71"/>
      <c r="G44" s="71">
        <f t="shared" si="1"/>
        <v>10352.379056340831</v>
      </c>
      <c r="H44" s="75">
        <f>50000/7.5345</f>
        <v>6636.140420731303</v>
      </c>
      <c r="I44" s="76">
        <f>50000/7.5345</f>
        <v>6636.140420731303</v>
      </c>
      <c r="K44" s="49"/>
      <c r="L44" s="49"/>
      <c r="M44" s="49"/>
      <c r="N44" s="49"/>
    </row>
    <row r="45" spans="3:14" ht="12.75" customHeight="1">
      <c r="C45" s="16">
        <v>32379</v>
      </c>
      <c r="D45" s="10" t="s">
        <v>11</v>
      </c>
      <c r="E45" s="67">
        <f>37500/7.5345</f>
        <v>4977.105315548477</v>
      </c>
      <c r="F45" s="71"/>
      <c r="G45" s="71">
        <f t="shared" si="1"/>
        <v>4977.105315548477</v>
      </c>
      <c r="H45" s="75">
        <f>32000/7.5345</f>
        <v>4247.129869268034</v>
      </c>
      <c r="I45" s="76">
        <f>32000/7.5345</f>
        <v>4247.129869268034</v>
      </c>
      <c r="K45" s="49"/>
      <c r="L45" s="49"/>
      <c r="M45" s="49"/>
      <c r="N45" s="49"/>
    </row>
    <row r="46" spans="3:14" ht="12.75" customHeight="1">
      <c r="C46" s="16">
        <v>32381</v>
      </c>
      <c r="D46" s="10" t="s">
        <v>12</v>
      </c>
      <c r="E46" s="67">
        <f>100000/7.5345</f>
        <v>13272.280841462605</v>
      </c>
      <c r="F46" s="71"/>
      <c r="G46" s="71">
        <f t="shared" si="1"/>
        <v>13272.280841462605</v>
      </c>
      <c r="H46" s="75">
        <f>80000/7.5345</f>
        <v>10617.824673170084</v>
      </c>
      <c r="I46" s="76">
        <f>80000/7.5345</f>
        <v>10617.824673170084</v>
      </c>
      <c r="K46" s="49"/>
      <c r="L46" s="49"/>
      <c r="M46" s="49"/>
      <c r="N46" s="49"/>
    </row>
    <row r="47" spans="3:14" ht="12.75" customHeight="1">
      <c r="C47" s="16">
        <v>32391</v>
      </c>
      <c r="D47" s="10" t="s">
        <v>32</v>
      </c>
      <c r="E47" s="67">
        <f>70000/7.5345</f>
        <v>9290.596589023824</v>
      </c>
      <c r="F47" s="71"/>
      <c r="G47" s="71">
        <f t="shared" si="1"/>
        <v>9290.596589023824</v>
      </c>
      <c r="H47" s="75">
        <f>105000/7.5345</f>
        <v>13935.894883535735</v>
      </c>
      <c r="I47" s="76">
        <f>105000/7.5345</f>
        <v>13935.894883535735</v>
      </c>
      <c r="K47" s="49"/>
      <c r="L47" s="49"/>
      <c r="M47" s="49"/>
      <c r="N47" s="49"/>
    </row>
    <row r="48" spans="3:9" ht="12.75" customHeight="1">
      <c r="C48" s="16">
        <v>32394</v>
      </c>
      <c r="D48" s="10" t="s">
        <v>51</v>
      </c>
      <c r="E48" s="67">
        <f>10000/7.5345</f>
        <v>1327.2280841462605</v>
      </c>
      <c r="F48" s="71"/>
      <c r="G48" s="71">
        <f t="shared" si="1"/>
        <v>1327.2280841462605</v>
      </c>
      <c r="H48" s="75">
        <f>6500/7.5345</f>
        <v>862.6982546950693</v>
      </c>
      <c r="I48" s="76">
        <f>6500/7.5345</f>
        <v>862.6982546950693</v>
      </c>
    </row>
    <row r="49" spans="3:9" ht="12.75" customHeight="1">
      <c r="C49" s="16">
        <v>32396</v>
      </c>
      <c r="D49" s="10" t="s">
        <v>10</v>
      </c>
      <c r="E49" s="67">
        <f>8000/7.5345</f>
        <v>1061.7824673170085</v>
      </c>
      <c r="F49" s="71"/>
      <c r="G49" s="71">
        <f t="shared" si="1"/>
        <v>1061.7824673170085</v>
      </c>
      <c r="H49" s="75">
        <f>8000/7.5345</f>
        <v>1061.7824673170085</v>
      </c>
      <c r="I49" s="76">
        <f>8000/7.5345</f>
        <v>1061.7824673170085</v>
      </c>
    </row>
    <row r="50" spans="3:9" ht="12.75" customHeight="1">
      <c r="C50" s="16">
        <v>32399</v>
      </c>
      <c r="D50" s="10" t="s">
        <v>65</v>
      </c>
      <c r="E50" s="67">
        <v>19908.42</v>
      </c>
      <c r="F50" s="71">
        <f>50000/7.5345</f>
        <v>6636.140420731303</v>
      </c>
      <c r="G50" s="71">
        <f t="shared" si="1"/>
        <v>26544.5604207313</v>
      </c>
      <c r="H50" s="75">
        <f>100000/7.5345</f>
        <v>13272.280841462605</v>
      </c>
      <c r="I50" s="76">
        <f>100000/7.5345</f>
        <v>13272.280841462605</v>
      </c>
    </row>
    <row r="51" spans="3:9" ht="12.75" customHeight="1">
      <c r="C51" s="16">
        <v>32921</v>
      </c>
      <c r="D51" s="10" t="s">
        <v>14</v>
      </c>
      <c r="E51" s="67">
        <f>28000/7.5345</f>
        <v>3716.2386356095294</v>
      </c>
      <c r="F51" s="71"/>
      <c r="G51" s="71">
        <f t="shared" si="1"/>
        <v>3716.2386356095294</v>
      </c>
      <c r="H51" s="75">
        <f>9400/7.5345</f>
        <v>1247.594399097485</v>
      </c>
      <c r="I51" s="76">
        <f>9400/7.5345</f>
        <v>1247.594399097485</v>
      </c>
    </row>
    <row r="52" spans="3:9" ht="12.75" customHeight="1">
      <c r="C52" s="16">
        <v>32923</v>
      </c>
      <c r="D52" s="10" t="s">
        <v>15</v>
      </c>
      <c r="E52" s="67">
        <f>15000/7.5345</f>
        <v>1990.8421262193906</v>
      </c>
      <c r="F52" s="71"/>
      <c r="G52" s="71">
        <f t="shared" si="1"/>
        <v>1990.8421262193906</v>
      </c>
      <c r="H52" s="75">
        <v>1990.84</v>
      </c>
      <c r="I52" s="76">
        <f>15000/7.5345</f>
        <v>1990.8421262193906</v>
      </c>
    </row>
    <row r="53" spans="3:9" ht="12.75" customHeight="1">
      <c r="C53" s="16">
        <v>32931</v>
      </c>
      <c r="D53" s="10" t="s">
        <v>24</v>
      </c>
      <c r="E53" s="67">
        <f>5000/7.5345</f>
        <v>663.6140420731302</v>
      </c>
      <c r="F53" s="71"/>
      <c r="G53" s="71">
        <f t="shared" si="1"/>
        <v>663.6140420731302</v>
      </c>
      <c r="H53" s="75">
        <f>5000/7.5345</f>
        <v>663.6140420731302</v>
      </c>
      <c r="I53" s="76">
        <f>5000/7.5345</f>
        <v>663.6140420731302</v>
      </c>
    </row>
    <row r="54" spans="3:9" ht="12.75" customHeight="1">
      <c r="C54" s="16">
        <v>32377</v>
      </c>
      <c r="D54" s="10" t="s">
        <v>81</v>
      </c>
      <c r="E54" s="67">
        <f>150000/7.5345</f>
        <v>19908.421262193908</v>
      </c>
      <c r="F54" s="71"/>
      <c r="G54" s="71">
        <f t="shared" si="1"/>
        <v>19908.421262193908</v>
      </c>
      <c r="H54" s="75"/>
      <c r="I54" s="76"/>
    </row>
    <row r="55" spans="3:9" ht="12.75" customHeight="1">
      <c r="C55" s="16">
        <v>32131</v>
      </c>
      <c r="D55" s="10" t="s">
        <v>66</v>
      </c>
      <c r="E55" s="67">
        <f>90000/7.5345</f>
        <v>11945.052757316344</v>
      </c>
      <c r="F55" s="71"/>
      <c r="G55" s="71">
        <f t="shared" si="1"/>
        <v>11945.052757316344</v>
      </c>
      <c r="H55" s="75">
        <f>34500/7.5345</f>
        <v>4578.936890304599</v>
      </c>
      <c r="I55" s="76">
        <f>34500/7.5345</f>
        <v>4578.936890304599</v>
      </c>
    </row>
    <row r="56" spans="3:9" ht="12.75" customHeight="1">
      <c r="C56" s="16">
        <v>32959</v>
      </c>
      <c r="D56" s="10" t="s">
        <v>40</v>
      </c>
      <c r="E56" s="67">
        <f>25000/7.5345</f>
        <v>3318.0702103656513</v>
      </c>
      <c r="F56" s="71"/>
      <c r="G56" s="71">
        <f t="shared" si="1"/>
        <v>3318.0702103656513</v>
      </c>
      <c r="H56" s="75">
        <f>9000/7.5345</f>
        <v>1194.5052757316344</v>
      </c>
      <c r="I56" s="76">
        <f>9000/7.5345</f>
        <v>1194.5052757316344</v>
      </c>
    </row>
    <row r="57" spans="3:9" ht="12.75" customHeight="1">
      <c r="C57" s="15">
        <v>34</v>
      </c>
      <c r="D57" s="9" t="s">
        <v>31</v>
      </c>
      <c r="E57" s="66">
        <f>SUM(E58:E59)</f>
        <v>995.4210631096954</v>
      </c>
      <c r="F57" s="73">
        <f>SUM(F58:F59)</f>
        <v>0</v>
      </c>
      <c r="G57" s="73">
        <f>SUM(G58:G59)</f>
        <v>995.4210631096954</v>
      </c>
      <c r="H57" s="73">
        <f>SUM(H58:H59)</f>
        <v>1061.7824673170085</v>
      </c>
      <c r="I57" s="74">
        <f>SUM(I58:I59)</f>
        <v>1061.7824673170085</v>
      </c>
    </row>
    <row r="58" spans="3:9" ht="12.75" customHeight="1">
      <c r="C58" s="16">
        <v>34311</v>
      </c>
      <c r="D58" s="10" t="s">
        <v>16</v>
      </c>
      <c r="E58" s="68">
        <f>7000/7.5345</f>
        <v>929.0596589023824</v>
      </c>
      <c r="F58" s="71"/>
      <c r="G58" s="71">
        <f>F58+E58</f>
        <v>929.0596589023824</v>
      </c>
      <c r="H58" s="75">
        <f>7000/7.5345</f>
        <v>929.0596589023824</v>
      </c>
      <c r="I58" s="76">
        <f>7000/7.5345</f>
        <v>929.0596589023824</v>
      </c>
    </row>
    <row r="59" spans="3:9" ht="12" customHeight="1">
      <c r="C59" s="16">
        <v>34333</v>
      </c>
      <c r="D59" s="10" t="s">
        <v>62</v>
      </c>
      <c r="E59" s="68">
        <f>500/7.5345</f>
        <v>66.36140420731303</v>
      </c>
      <c r="F59" s="71"/>
      <c r="G59" s="71">
        <f>F59+E59</f>
        <v>66.36140420731303</v>
      </c>
      <c r="H59" s="75">
        <f>1000/7.5345</f>
        <v>132.72280841462606</v>
      </c>
      <c r="I59" s="76">
        <f>1000/7.5345</f>
        <v>132.72280841462606</v>
      </c>
    </row>
    <row r="60" spans="3:9" ht="12" customHeight="1">
      <c r="C60" s="15">
        <v>42</v>
      </c>
      <c r="D60" s="9" t="s">
        <v>33</v>
      </c>
      <c r="E60" s="66">
        <f>SUM(E61:E64)</f>
        <v>7731.103590151967</v>
      </c>
      <c r="F60" s="73">
        <f>SUM(F61:F64)</f>
        <v>0</v>
      </c>
      <c r="G60" s="73">
        <f>SUM(G61:G64)</f>
        <v>7731.103590151967</v>
      </c>
      <c r="H60" s="73">
        <f>SUM(H61:H64)</f>
        <v>11945.052757316345</v>
      </c>
      <c r="I60" s="74">
        <f>SUM(I61:I64)</f>
        <v>11945.052757316345</v>
      </c>
    </row>
    <row r="61" spans="3:9" ht="12" customHeight="1">
      <c r="C61" s="16">
        <v>42211</v>
      </c>
      <c r="D61" s="10" t="s">
        <v>54</v>
      </c>
      <c r="E61" s="68">
        <f>13250/7.5345</f>
        <v>1758.5772114937952</v>
      </c>
      <c r="F61" s="71"/>
      <c r="G61" s="71">
        <f>F61+E61</f>
        <v>1758.5772114937952</v>
      </c>
      <c r="H61" s="75">
        <f>25000/7.5345</f>
        <v>3318.0702103656513</v>
      </c>
      <c r="I61" s="76">
        <f>25000/7.5345</f>
        <v>3318.0702103656513</v>
      </c>
    </row>
    <row r="62" spans="3:9" ht="12" customHeight="1">
      <c r="C62" s="16">
        <v>42219</v>
      </c>
      <c r="D62" s="10" t="s">
        <v>55</v>
      </c>
      <c r="E62" s="68">
        <v>0</v>
      </c>
      <c r="F62" s="71"/>
      <c r="G62" s="71">
        <f>F62+E62</f>
        <v>0</v>
      </c>
      <c r="H62" s="75">
        <f>5000/7.5345</f>
        <v>663.6140420731302</v>
      </c>
      <c r="I62" s="76">
        <f>5000/7.5345</f>
        <v>663.6140420731302</v>
      </c>
    </row>
    <row r="63" spans="3:9" ht="12" customHeight="1">
      <c r="C63" s="18">
        <v>42229</v>
      </c>
      <c r="D63" s="12" t="s">
        <v>63</v>
      </c>
      <c r="E63" s="68">
        <f>20000/7.5345</f>
        <v>2654.456168292521</v>
      </c>
      <c r="F63" s="71"/>
      <c r="G63" s="71">
        <f>F63+E63</f>
        <v>2654.456168292521</v>
      </c>
      <c r="H63" s="75">
        <f>35000/7.5345</f>
        <v>4645.298294511912</v>
      </c>
      <c r="I63" s="76">
        <f>35000/7.5345</f>
        <v>4645.298294511912</v>
      </c>
    </row>
    <row r="64" spans="3:9" ht="12" customHeight="1">
      <c r="C64" s="18">
        <v>42239</v>
      </c>
      <c r="D64" s="12" t="s">
        <v>64</v>
      </c>
      <c r="E64" s="68">
        <f>25000/7.5345</f>
        <v>3318.0702103656513</v>
      </c>
      <c r="F64" s="71"/>
      <c r="G64" s="71">
        <f>F64+E64</f>
        <v>3318.0702103656513</v>
      </c>
      <c r="H64" s="75">
        <f>25000/7.5345</f>
        <v>3318.0702103656513</v>
      </c>
      <c r="I64" s="76">
        <f>25000/7.5345</f>
        <v>3318.0702103656513</v>
      </c>
    </row>
    <row r="65" spans="3:9" ht="12.75" customHeight="1">
      <c r="C65" s="19" t="s">
        <v>34</v>
      </c>
      <c r="D65" s="13" t="s">
        <v>35</v>
      </c>
      <c r="E65" s="41" t="s">
        <v>72</v>
      </c>
      <c r="F65" s="42" t="s">
        <v>73</v>
      </c>
      <c r="G65" s="42" t="s">
        <v>38</v>
      </c>
      <c r="H65" s="42" t="s">
        <v>38</v>
      </c>
      <c r="I65" s="43" t="s">
        <v>38</v>
      </c>
    </row>
    <row r="66" spans="3:9" ht="13.5" customHeight="1">
      <c r="C66" s="15">
        <v>32</v>
      </c>
      <c r="D66" s="9" t="s">
        <v>27</v>
      </c>
      <c r="E66" s="66">
        <f>SUM(E67:E68)</f>
        <v>14931.31594664543</v>
      </c>
      <c r="F66" s="73">
        <f>SUM(F67:F68)</f>
        <v>0</v>
      </c>
      <c r="G66" s="73">
        <f>SUM(G67:G68)</f>
        <v>14931.31594664543</v>
      </c>
      <c r="H66" s="73">
        <f>SUM(H67:H68)</f>
        <v>4711.659698719224</v>
      </c>
      <c r="I66" s="74">
        <f>SUM(I67:I68)</f>
        <v>4711.659698719224</v>
      </c>
    </row>
    <row r="67" spans="3:9" ht="13.5" customHeight="1">
      <c r="C67" s="18">
        <v>32271</v>
      </c>
      <c r="D67" s="11" t="s">
        <v>26</v>
      </c>
      <c r="E67" s="68">
        <f>85000/7.5345</f>
        <v>11281.438715243214</v>
      </c>
      <c r="F67" s="71"/>
      <c r="G67" s="71">
        <f>F67+E67</f>
        <v>11281.438715243214</v>
      </c>
      <c r="H67" s="75">
        <f>25500/7.5345</f>
        <v>3384.431614572964</v>
      </c>
      <c r="I67" s="76">
        <f>25500/7.5345</f>
        <v>3384.431614572964</v>
      </c>
    </row>
    <row r="68" spans="3:9" ht="12.75" customHeight="1">
      <c r="C68" s="18">
        <v>42233</v>
      </c>
      <c r="D68" s="12" t="s">
        <v>69</v>
      </c>
      <c r="E68" s="68">
        <f>27500/7.5345</f>
        <v>3649.8772314022162</v>
      </c>
      <c r="F68" s="71"/>
      <c r="G68" s="71">
        <f>F68+E68</f>
        <v>3649.8772314022162</v>
      </c>
      <c r="H68" s="75">
        <f>10000/7.5345</f>
        <v>1327.2280841462605</v>
      </c>
      <c r="I68" s="76">
        <f>10000/7.5345</f>
        <v>1327.2280841462605</v>
      </c>
    </row>
    <row r="69" spans="3:9" ht="12.75" customHeight="1">
      <c r="C69" s="19" t="s">
        <v>56</v>
      </c>
      <c r="D69" s="13" t="s">
        <v>57</v>
      </c>
      <c r="E69" s="41" t="s">
        <v>72</v>
      </c>
      <c r="F69" s="42" t="s">
        <v>73</v>
      </c>
      <c r="G69" s="42" t="s">
        <v>38</v>
      </c>
      <c r="H69" s="42" t="s">
        <v>38</v>
      </c>
      <c r="I69" s="43" t="s">
        <v>38</v>
      </c>
    </row>
    <row r="70" spans="3:9" ht="12.75" customHeight="1">
      <c r="C70" s="20">
        <v>32</v>
      </c>
      <c r="D70" s="9" t="s">
        <v>27</v>
      </c>
      <c r="E70" s="66">
        <f>SUM(E71)</f>
        <v>4977.105315548477</v>
      </c>
      <c r="F70" s="73">
        <v>0</v>
      </c>
      <c r="G70" s="73">
        <f>SUM(G71)</f>
        <v>4977.105315548477</v>
      </c>
      <c r="H70" s="73">
        <f>SUM(H71)</f>
        <v>5176.1895281704155</v>
      </c>
      <c r="I70" s="74">
        <f>SUM(I71)</f>
        <v>5176.1895281704155</v>
      </c>
    </row>
    <row r="71" spans="3:9" ht="12.75" customHeight="1">
      <c r="C71" s="16">
        <v>32355</v>
      </c>
      <c r="D71" s="10" t="s">
        <v>71</v>
      </c>
      <c r="E71" s="67">
        <f>37500/7.5345</f>
        <v>4977.105315548477</v>
      </c>
      <c r="F71" s="71"/>
      <c r="G71" s="71">
        <f>E71+F71</f>
        <v>4977.105315548477</v>
      </c>
      <c r="H71" s="75">
        <f>39000/7.5345</f>
        <v>5176.1895281704155</v>
      </c>
      <c r="I71" s="76">
        <f>39000/7.5345</f>
        <v>5176.1895281704155</v>
      </c>
    </row>
    <row r="72" spans="3:9" ht="27.75" customHeight="1">
      <c r="C72" s="50"/>
      <c r="D72" s="13" t="s">
        <v>76</v>
      </c>
      <c r="E72" s="51" t="s">
        <v>72</v>
      </c>
      <c r="F72" s="52" t="s">
        <v>77</v>
      </c>
      <c r="G72" s="52" t="s">
        <v>38</v>
      </c>
      <c r="H72" s="52" t="s">
        <v>38</v>
      </c>
      <c r="I72" s="53" t="s">
        <v>38</v>
      </c>
    </row>
    <row r="73" spans="3:9" ht="15" customHeight="1">
      <c r="C73" s="103">
        <v>32</v>
      </c>
      <c r="D73" s="61" t="s">
        <v>27</v>
      </c>
      <c r="E73" s="77">
        <f>SUM(E74:E77)</f>
        <v>150242.22</v>
      </c>
      <c r="F73" s="78"/>
      <c r="G73" s="79">
        <f>SUM(G74:G77)</f>
        <v>150242.22</v>
      </c>
      <c r="H73" s="78"/>
      <c r="I73" s="80"/>
    </row>
    <row r="74" spans="3:9" ht="18" customHeight="1">
      <c r="C74" s="16">
        <v>32329</v>
      </c>
      <c r="D74" s="10" t="s">
        <v>70</v>
      </c>
      <c r="E74" s="105">
        <v>61052.49</v>
      </c>
      <c r="F74" s="105"/>
      <c r="G74" s="105">
        <v>61052.49</v>
      </c>
      <c r="H74" s="105"/>
      <c r="I74" s="105"/>
    </row>
    <row r="75" spans="3:9" ht="18" customHeight="1">
      <c r="C75" s="16">
        <v>32379</v>
      </c>
      <c r="D75" s="10" t="s">
        <v>11</v>
      </c>
      <c r="E75" s="81">
        <v>33180.7</v>
      </c>
      <c r="F75" s="82"/>
      <c r="G75" s="81">
        <v>33180.7</v>
      </c>
      <c r="H75" s="82"/>
      <c r="I75" s="83"/>
    </row>
    <row r="76" spans="3:9" ht="18" customHeight="1">
      <c r="C76" s="16">
        <v>32399</v>
      </c>
      <c r="D76" s="10" t="s">
        <v>65</v>
      </c>
      <c r="E76" s="81">
        <v>36764.22</v>
      </c>
      <c r="F76" s="82"/>
      <c r="G76" s="81">
        <v>36764.22</v>
      </c>
      <c r="H76" s="82"/>
      <c r="I76" s="83"/>
    </row>
    <row r="77" spans="3:9" ht="18" customHeight="1">
      <c r="C77" s="16">
        <v>42273</v>
      </c>
      <c r="D77" s="10" t="s">
        <v>78</v>
      </c>
      <c r="E77" s="81">
        <v>19244.81</v>
      </c>
      <c r="F77" s="82"/>
      <c r="G77" s="81">
        <v>19244.81</v>
      </c>
      <c r="H77" s="82"/>
      <c r="I77" s="83"/>
    </row>
    <row r="78" spans="3:9" ht="12.75" customHeight="1">
      <c r="C78" s="19" t="s">
        <v>36</v>
      </c>
      <c r="D78" s="13" t="s">
        <v>37</v>
      </c>
      <c r="E78" s="41" t="s">
        <v>68</v>
      </c>
      <c r="F78" s="42" t="s">
        <v>67</v>
      </c>
      <c r="G78" s="42" t="s">
        <v>38</v>
      </c>
      <c r="H78" s="42" t="s">
        <v>38</v>
      </c>
      <c r="I78" s="43" t="s">
        <v>38</v>
      </c>
    </row>
    <row r="79" spans="3:9" ht="12.75" customHeight="1">
      <c r="C79" s="15">
        <v>32</v>
      </c>
      <c r="D79" s="9" t="s">
        <v>27</v>
      </c>
      <c r="E79" s="66">
        <f>SUM(E80)</f>
        <v>6636.140420731303</v>
      </c>
      <c r="F79" s="73">
        <f>SUM(F80)</f>
        <v>0</v>
      </c>
      <c r="G79" s="73">
        <f>SUM(G80)</f>
        <v>6636.140420731303</v>
      </c>
      <c r="H79" s="73">
        <f>SUM(H80)</f>
        <v>6636.140420731303</v>
      </c>
      <c r="I79" s="74">
        <f>SUM(I80)</f>
        <v>6636.140420731303</v>
      </c>
    </row>
    <row r="80" spans="3:9" ht="12.75" customHeight="1">
      <c r="C80" s="18">
        <v>32911</v>
      </c>
      <c r="D80" s="12" t="s">
        <v>13</v>
      </c>
      <c r="E80" s="68">
        <f>50000/7.5345</f>
        <v>6636.140420731303</v>
      </c>
      <c r="F80" s="71">
        <v>0</v>
      </c>
      <c r="G80" s="71">
        <f>F80+E80</f>
        <v>6636.140420731303</v>
      </c>
      <c r="H80" s="75">
        <f>50000/7.5345</f>
        <v>6636.140420731303</v>
      </c>
      <c r="I80" s="76">
        <f>50000/7.5345</f>
        <v>6636.140420731303</v>
      </c>
    </row>
    <row r="81" spans="3:9" ht="12.75" customHeight="1" thickBot="1">
      <c r="C81" s="21"/>
      <c r="D81" s="22" t="s">
        <v>17</v>
      </c>
      <c r="E81" s="84">
        <f>SUM(E6,E13,E57,E60,E66,E70,E73,E79)</f>
        <v>1361510.3851722078</v>
      </c>
      <c r="F81" s="85">
        <f>SUM(F6,F13,F57,F60,F70,F79)</f>
        <v>37162.38635609529</v>
      </c>
      <c r="G81" s="85">
        <f>SUM(G6,G13,G57,G60,G66,G70,G79,G73)</f>
        <v>1398672.7715283032</v>
      </c>
      <c r="H81" s="84">
        <f>SUM(H6,H13,H57,H60,H66,H70,H79)</f>
        <v>1148763.0212993564</v>
      </c>
      <c r="I81" s="86">
        <f>SUM(I6,I13,I57,I60,I66,I70,I79)</f>
        <v>1167027.3116995157</v>
      </c>
    </row>
    <row r="83" spans="3:7" ht="21" customHeight="1">
      <c r="C83" s="89" t="s">
        <v>82</v>
      </c>
      <c r="D83" s="89"/>
      <c r="E83" s="89"/>
      <c r="F83" s="29"/>
      <c r="G83" s="29"/>
    </row>
    <row r="84" spans="3:5" ht="12.75">
      <c r="C84" s="89"/>
      <c r="D84" s="89"/>
      <c r="E84" s="89"/>
    </row>
    <row r="87" spans="5:7" ht="12.75">
      <c r="E87" s="48"/>
      <c r="G87" s="48"/>
    </row>
    <row r="89" ht="16.5" customHeight="1"/>
    <row r="108" ht="12.75" customHeight="1"/>
  </sheetData>
  <sheetProtection/>
  <mergeCells count="1">
    <mergeCell ref="C4:E4"/>
  </mergeCells>
  <printOptions/>
  <pageMargins left="0.5905511811023623" right="0.5118110236220472" top="0.7480314960629921" bottom="0.35433070866141736" header="0.31496062992125984" footer="0.31496062992125984"/>
  <pageSetup fitToHeight="0" fitToWidth="1" horizontalDpi="600" verticalDpi="600" orientation="landscape" pageOrder="overThenDown"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C1:N87"/>
  <sheetViews>
    <sheetView zoomScale="120" zoomScaleNormal="120" zoomScalePageLayoutView="0" workbookViewId="0" topLeftCell="A64">
      <selection activeCell="E84" sqref="E84"/>
    </sheetView>
  </sheetViews>
  <sheetFormatPr defaultColWidth="9.140625" defaultRowHeight="12.75"/>
  <cols>
    <col min="1" max="2" width="2.57421875" style="0" customWidth="1"/>
    <col min="3" max="3" width="10.421875" style="4" customWidth="1"/>
    <col min="4" max="4" width="41.7109375" style="6" customWidth="1"/>
    <col min="5" max="5" width="18.57421875" style="0" customWidth="1"/>
    <col min="6" max="6" width="15.421875" style="0" customWidth="1"/>
    <col min="7" max="7" width="17.421875" style="0" bestFit="1" customWidth="1"/>
    <col min="8" max="8" width="17.421875" style="7" bestFit="1" customWidth="1"/>
    <col min="9" max="9" width="17.421875" style="0" bestFit="1" customWidth="1"/>
    <col min="10" max="17" width="1.8515625" style="0" customWidth="1"/>
    <col min="18" max="18" width="3.28125" style="0" customWidth="1"/>
    <col min="19" max="19" width="5.28125" style="0" customWidth="1"/>
  </cols>
  <sheetData>
    <row r="1" spans="3:5" ht="12.75">
      <c r="C1" s="2" t="s">
        <v>21</v>
      </c>
      <c r="D1" s="5"/>
      <c r="E1" s="1"/>
    </row>
    <row r="2" spans="3:5" ht="12.75">
      <c r="C2" s="2" t="s">
        <v>22</v>
      </c>
      <c r="D2" s="5"/>
      <c r="E2" s="1"/>
    </row>
    <row r="3" spans="3:5" ht="4.5" customHeight="1">
      <c r="C3" s="3"/>
      <c r="D3" s="5"/>
      <c r="E3" s="1"/>
    </row>
    <row r="4" spans="3:5" ht="15.75" customHeight="1" thickBot="1">
      <c r="C4" s="106" t="s">
        <v>75</v>
      </c>
      <c r="D4" s="106"/>
      <c r="E4" s="106"/>
    </row>
    <row r="5" spans="3:9" ht="12.75" customHeight="1" thickBot="1">
      <c r="C5" s="25" t="s">
        <v>28</v>
      </c>
      <c r="D5" s="26" t="s">
        <v>29</v>
      </c>
      <c r="E5" s="8" t="s">
        <v>72</v>
      </c>
      <c r="F5" s="8" t="s">
        <v>73</v>
      </c>
      <c r="G5" s="8" t="s">
        <v>38</v>
      </c>
      <c r="H5" s="14">
        <v>2024</v>
      </c>
      <c r="I5" s="14">
        <v>2025</v>
      </c>
    </row>
    <row r="6" spans="3:9" ht="12.75" customHeight="1">
      <c r="C6" s="23">
        <v>31</v>
      </c>
      <c r="D6" s="24" t="s">
        <v>52</v>
      </c>
      <c r="E6" s="37">
        <f>SUM(E7:E12)</f>
        <v>6591500</v>
      </c>
      <c r="F6" s="38">
        <f>SUM(F7:F12)</f>
        <v>0</v>
      </c>
      <c r="G6" s="38">
        <f>SUM(G7:G12)</f>
        <v>6591500</v>
      </c>
      <c r="H6" s="38">
        <f>SUM(H7:H12)</f>
        <v>6602955</v>
      </c>
      <c r="I6" s="39">
        <f>SUM(I7:I12)</f>
        <v>6634567.28</v>
      </c>
    </row>
    <row r="7" spans="3:9" ht="12.75" customHeight="1">
      <c r="C7" s="16">
        <v>31111</v>
      </c>
      <c r="D7" s="10" t="s">
        <v>18</v>
      </c>
      <c r="E7" s="45">
        <v>5400000</v>
      </c>
      <c r="F7" s="30"/>
      <c r="G7" s="30">
        <f aca="true" t="shared" si="0" ref="G7:G12">F7+E7</f>
        <v>5400000</v>
      </c>
      <c r="H7" s="45">
        <v>5427000</v>
      </c>
      <c r="I7" s="46">
        <v>5454135</v>
      </c>
    </row>
    <row r="8" spans="3:9" ht="12.75" customHeight="1">
      <c r="C8" s="16">
        <v>31212</v>
      </c>
      <c r="D8" s="10" t="s">
        <v>58</v>
      </c>
      <c r="E8" s="45">
        <v>152500</v>
      </c>
      <c r="F8" s="30"/>
      <c r="G8" s="30">
        <f t="shared" si="0"/>
        <v>152500</v>
      </c>
      <c r="H8" s="45">
        <v>152500</v>
      </c>
      <c r="I8" s="46">
        <v>152500</v>
      </c>
    </row>
    <row r="9" spans="3:9" ht="12.75" customHeight="1">
      <c r="C9" s="16">
        <v>31213</v>
      </c>
      <c r="D9" s="10" t="s">
        <v>59</v>
      </c>
      <c r="E9" s="45">
        <v>48000</v>
      </c>
      <c r="F9" s="30"/>
      <c r="G9" s="30">
        <f t="shared" si="0"/>
        <v>48000</v>
      </c>
      <c r="H9" s="45">
        <v>48000</v>
      </c>
      <c r="I9" s="46">
        <v>48000</v>
      </c>
    </row>
    <row r="10" spans="3:9" ht="12.75" customHeight="1">
      <c r="C10" s="16">
        <v>31214</v>
      </c>
      <c r="D10" s="10" t="s">
        <v>60</v>
      </c>
      <c r="E10" s="45">
        <v>50000</v>
      </c>
      <c r="F10" s="30"/>
      <c r="G10" s="30">
        <f t="shared" si="0"/>
        <v>50000</v>
      </c>
      <c r="H10" s="45">
        <v>50000</v>
      </c>
      <c r="I10" s="46">
        <v>50000</v>
      </c>
    </row>
    <row r="11" spans="3:9" ht="12.75" customHeight="1">
      <c r="C11" s="16">
        <v>31215</v>
      </c>
      <c r="D11" s="10" t="s">
        <v>19</v>
      </c>
      <c r="E11" s="45">
        <v>50000</v>
      </c>
      <c r="F11" s="30"/>
      <c r="G11" s="30">
        <f t="shared" si="0"/>
        <v>50000</v>
      </c>
      <c r="H11" s="45">
        <v>30000</v>
      </c>
      <c r="I11" s="46">
        <v>30000</v>
      </c>
    </row>
    <row r="12" spans="3:9" ht="12.75" customHeight="1">
      <c r="C12" s="16">
        <v>31321</v>
      </c>
      <c r="D12" s="10" t="s">
        <v>20</v>
      </c>
      <c r="E12" s="45">
        <v>891000</v>
      </c>
      <c r="F12" s="30"/>
      <c r="G12" s="30">
        <f t="shared" si="0"/>
        <v>891000</v>
      </c>
      <c r="H12" s="45">
        <v>895455</v>
      </c>
      <c r="I12" s="46">
        <v>899932.28</v>
      </c>
    </row>
    <row r="13" spans="3:9" ht="12.75" customHeight="1">
      <c r="C13" s="15">
        <v>32</v>
      </c>
      <c r="D13" s="9" t="s">
        <v>27</v>
      </c>
      <c r="E13" s="40">
        <f>SUM(E14:E56)</f>
        <v>2269050</v>
      </c>
      <c r="F13" s="33">
        <f>SUM(F14:F56)</f>
        <v>280000</v>
      </c>
      <c r="G13" s="33">
        <f>SUM(G14:G56)</f>
        <v>2549050</v>
      </c>
      <c r="H13" s="33">
        <f>SUM(H14:H56)</f>
        <v>1829900</v>
      </c>
      <c r="I13" s="34">
        <f>SUM(I14:I56)</f>
        <v>1935900</v>
      </c>
    </row>
    <row r="14" spans="3:9" ht="12.75" customHeight="1">
      <c r="C14" s="16">
        <v>32111</v>
      </c>
      <c r="D14" s="10" t="s">
        <v>1</v>
      </c>
      <c r="E14" s="47">
        <v>5000</v>
      </c>
      <c r="F14" s="30"/>
      <c r="G14" s="30">
        <f>F14+E14</f>
        <v>5000</v>
      </c>
      <c r="H14" s="31">
        <v>15000</v>
      </c>
      <c r="I14" s="32">
        <v>15000</v>
      </c>
    </row>
    <row r="15" spans="3:9" ht="12.75" customHeight="1">
      <c r="C15" s="16">
        <v>32141</v>
      </c>
      <c r="D15" s="10" t="s">
        <v>23</v>
      </c>
      <c r="E15" s="47">
        <v>13400</v>
      </c>
      <c r="F15" s="30"/>
      <c r="G15" s="30">
        <f aca="true" t="shared" si="1" ref="G15:G56">F15+E15</f>
        <v>13400</v>
      </c>
      <c r="H15" s="31">
        <v>31000</v>
      </c>
      <c r="I15" s="32">
        <v>31000</v>
      </c>
    </row>
    <row r="16" spans="3:9" ht="12.75" customHeight="1">
      <c r="C16" s="16">
        <v>32121</v>
      </c>
      <c r="D16" s="10" t="s">
        <v>0</v>
      </c>
      <c r="E16" s="47">
        <v>360000</v>
      </c>
      <c r="F16" s="30"/>
      <c r="G16" s="30">
        <f t="shared" si="1"/>
        <v>360000</v>
      </c>
      <c r="H16" s="45">
        <v>280000</v>
      </c>
      <c r="I16" s="46">
        <v>280000</v>
      </c>
    </row>
    <row r="17" spans="3:9" ht="12.75" customHeight="1">
      <c r="C17" s="16">
        <v>32211</v>
      </c>
      <c r="D17" s="10" t="s">
        <v>2</v>
      </c>
      <c r="E17" s="47">
        <v>35000</v>
      </c>
      <c r="F17" s="30"/>
      <c r="G17" s="30">
        <f t="shared" si="1"/>
        <v>35000</v>
      </c>
      <c r="H17" s="31">
        <v>30000</v>
      </c>
      <c r="I17" s="32">
        <v>30000</v>
      </c>
    </row>
    <row r="18" spans="3:9" ht="12.75" customHeight="1">
      <c r="C18" s="16">
        <v>32212</v>
      </c>
      <c r="D18" s="10" t="s">
        <v>3</v>
      </c>
      <c r="E18" s="47">
        <v>5000</v>
      </c>
      <c r="F18" s="30"/>
      <c r="G18" s="30">
        <f t="shared" si="1"/>
        <v>5000</v>
      </c>
      <c r="H18" s="31">
        <v>1000</v>
      </c>
      <c r="I18" s="32">
        <v>1000</v>
      </c>
    </row>
    <row r="19" spans="3:9" ht="12.75" customHeight="1">
      <c r="C19" s="16">
        <v>32214</v>
      </c>
      <c r="D19" s="10" t="s">
        <v>4</v>
      </c>
      <c r="E19" s="47">
        <v>25000</v>
      </c>
      <c r="F19" s="30"/>
      <c r="G19" s="30">
        <f t="shared" si="1"/>
        <v>25000</v>
      </c>
      <c r="H19" s="31">
        <v>20000</v>
      </c>
      <c r="I19" s="32">
        <v>20000</v>
      </c>
    </row>
    <row r="20" spans="3:9" ht="12.75" customHeight="1">
      <c r="C20" s="17">
        <v>32231</v>
      </c>
      <c r="D20" s="11" t="s">
        <v>5</v>
      </c>
      <c r="E20" s="47">
        <v>60000</v>
      </c>
      <c r="F20" s="30"/>
      <c r="G20" s="30">
        <f t="shared" si="1"/>
        <v>60000</v>
      </c>
      <c r="H20" s="31">
        <v>50000</v>
      </c>
      <c r="I20" s="32">
        <v>50000</v>
      </c>
    </row>
    <row r="21" spans="3:9" ht="12.75" customHeight="1">
      <c r="C21" s="17">
        <v>32234</v>
      </c>
      <c r="D21" s="11" t="s">
        <v>6</v>
      </c>
      <c r="E21" s="47">
        <v>102000</v>
      </c>
      <c r="F21" s="30"/>
      <c r="G21" s="30">
        <f t="shared" si="1"/>
        <v>102000</v>
      </c>
      <c r="H21" s="31">
        <v>80000</v>
      </c>
      <c r="I21" s="32">
        <v>80000</v>
      </c>
    </row>
    <row r="22" spans="3:9" ht="12" customHeight="1">
      <c r="C22" s="17">
        <v>32241</v>
      </c>
      <c r="D22" s="11" t="s">
        <v>45</v>
      </c>
      <c r="E22" s="47">
        <v>100000</v>
      </c>
      <c r="F22" s="30">
        <v>50000</v>
      </c>
      <c r="G22" s="30">
        <f t="shared" si="1"/>
        <v>150000</v>
      </c>
      <c r="H22" s="31">
        <v>110000</v>
      </c>
      <c r="I22" s="32">
        <f>126000+50000</f>
        <v>176000</v>
      </c>
    </row>
    <row r="23" spans="3:9" ht="12" customHeight="1">
      <c r="C23" s="17">
        <v>32242</v>
      </c>
      <c r="D23" s="11" t="s">
        <v>46</v>
      </c>
      <c r="E23" s="47">
        <v>56000</v>
      </c>
      <c r="F23" s="30">
        <v>40000</v>
      </c>
      <c r="G23" s="30">
        <f t="shared" si="1"/>
        <v>96000</v>
      </c>
      <c r="H23" s="31">
        <f>40000+60000</f>
        <v>100000</v>
      </c>
      <c r="I23" s="32">
        <f>40000+60000</f>
        <v>100000</v>
      </c>
    </row>
    <row r="24" spans="3:9" ht="12.75" customHeight="1">
      <c r="C24" s="17">
        <v>32243</v>
      </c>
      <c r="D24" s="11" t="s">
        <v>30</v>
      </c>
      <c r="E24" s="47">
        <v>70000</v>
      </c>
      <c r="F24" s="30">
        <v>20000</v>
      </c>
      <c r="G24" s="30">
        <f t="shared" si="1"/>
        <v>90000</v>
      </c>
      <c r="H24" s="31">
        <f>30000+20000</f>
        <v>50000</v>
      </c>
      <c r="I24" s="32">
        <f>30000+20000</f>
        <v>50000</v>
      </c>
    </row>
    <row r="25" spans="3:9" ht="12.75" customHeight="1">
      <c r="C25" s="17">
        <v>32251</v>
      </c>
      <c r="D25" s="11" t="s">
        <v>80</v>
      </c>
      <c r="E25" s="47">
        <v>103650</v>
      </c>
      <c r="F25" s="30">
        <v>40000</v>
      </c>
      <c r="G25" s="30">
        <f t="shared" si="1"/>
        <v>143650</v>
      </c>
      <c r="H25" s="31">
        <v>130000</v>
      </c>
      <c r="I25" s="32">
        <f>120000+50000</f>
        <v>170000</v>
      </c>
    </row>
    <row r="26" spans="3:9" ht="15">
      <c r="C26" s="17">
        <v>32271</v>
      </c>
      <c r="D26" s="11" t="s">
        <v>26</v>
      </c>
      <c r="E26" s="47">
        <v>60000</v>
      </c>
      <c r="F26" s="30"/>
      <c r="G26" s="30">
        <f t="shared" si="1"/>
        <v>60000</v>
      </c>
      <c r="H26" s="31">
        <v>42000</v>
      </c>
      <c r="I26" s="32">
        <v>42000</v>
      </c>
    </row>
    <row r="27" spans="3:9" ht="13.5" customHeight="1">
      <c r="C27" s="16">
        <v>32311</v>
      </c>
      <c r="D27" s="10" t="s">
        <v>7</v>
      </c>
      <c r="E27" s="47">
        <v>54000</v>
      </c>
      <c r="F27" s="30"/>
      <c r="G27" s="30">
        <f t="shared" si="1"/>
        <v>54000</v>
      </c>
      <c r="H27" s="31">
        <v>43000</v>
      </c>
      <c r="I27" s="32">
        <v>43000</v>
      </c>
    </row>
    <row r="28" spans="3:9" ht="13.5" customHeight="1">
      <c r="C28" s="16">
        <v>32313</v>
      </c>
      <c r="D28" s="10" t="s">
        <v>61</v>
      </c>
      <c r="E28" s="47">
        <v>5000</v>
      </c>
      <c r="F28" s="30"/>
      <c r="G28" s="30">
        <f t="shared" si="1"/>
        <v>5000</v>
      </c>
      <c r="H28" s="31">
        <v>7000</v>
      </c>
      <c r="I28" s="32">
        <v>7000</v>
      </c>
    </row>
    <row r="29" spans="3:9" ht="12.75" customHeight="1">
      <c r="C29" s="16">
        <v>32322</v>
      </c>
      <c r="D29" s="10" t="s">
        <v>74</v>
      </c>
      <c r="E29" s="47">
        <v>35000</v>
      </c>
      <c r="F29" s="30"/>
      <c r="G29" s="30">
        <f t="shared" si="1"/>
        <v>35000</v>
      </c>
      <c r="H29" s="31">
        <v>35000</v>
      </c>
      <c r="I29" s="32">
        <v>35000</v>
      </c>
    </row>
    <row r="30" spans="3:9" ht="12.75" customHeight="1">
      <c r="C30" s="16">
        <v>32329</v>
      </c>
      <c r="D30" s="10" t="s">
        <v>70</v>
      </c>
      <c r="E30" s="47">
        <v>92000</v>
      </c>
      <c r="F30" s="30"/>
      <c r="G30" s="30">
        <f t="shared" si="1"/>
        <v>92000</v>
      </c>
      <c r="H30" s="31">
        <v>45000</v>
      </c>
      <c r="I30" s="32">
        <v>45000</v>
      </c>
    </row>
    <row r="31" spans="3:9" ht="12.75" customHeight="1">
      <c r="C31" s="16">
        <v>32334</v>
      </c>
      <c r="D31" s="10" t="s">
        <v>41</v>
      </c>
      <c r="E31" s="47">
        <v>55000</v>
      </c>
      <c r="F31" s="30">
        <v>10000</v>
      </c>
      <c r="G31" s="30">
        <f t="shared" si="1"/>
        <v>65000</v>
      </c>
      <c r="H31" s="31">
        <f>15000+20000</f>
        <v>35000</v>
      </c>
      <c r="I31" s="32">
        <f>15000+20000</f>
        <v>35000</v>
      </c>
    </row>
    <row r="32" spans="3:9" ht="12.75" customHeight="1">
      <c r="C32" s="16">
        <v>32339</v>
      </c>
      <c r="D32" s="10" t="s">
        <v>47</v>
      </c>
      <c r="E32" s="47">
        <v>15000</v>
      </c>
      <c r="F32" s="30"/>
      <c r="G32" s="30">
        <f t="shared" si="1"/>
        <v>15000</v>
      </c>
      <c r="H32" s="31">
        <v>57000</v>
      </c>
      <c r="I32" s="32">
        <v>57000</v>
      </c>
    </row>
    <row r="33" spans="3:9" ht="12.75" customHeight="1">
      <c r="C33" s="16">
        <v>32341</v>
      </c>
      <c r="D33" s="10" t="s">
        <v>8</v>
      </c>
      <c r="E33" s="47">
        <v>10000</v>
      </c>
      <c r="F33" s="30"/>
      <c r="G33" s="30">
        <f t="shared" si="1"/>
        <v>10000</v>
      </c>
      <c r="H33" s="31">
        <v>10000</v>
      </c>
      <c r="I33" s="32">
        <v>10000</v>
      </c>
    </row>
    <row r="34" spans="3:9" ht="12.75" customHeight="1">
      <c r="C34" s="16">
        <v>32342</v>
      </c>
      <c r="D34" s="10" t="s">
        <v>9</v>
      </c>
      <c r="E34" s="47">
        <v>25000</v>
      </c>
      <c r="F34" s="30"/>
      <c r="G34" s="30">
        <f t="shared" si="1"/>
        <v>25000</v>
      </c>
      <c r="H34" s="31">
        <v>10000</v>
      </c>
      <c r="I34" s="32">
        <v>10000</v>
      </c>
    </row>
    <row r="35" spans="3:9" ht="12.75" customHeight="1">
      <c r="C35" s="16">
        <v>32343</v>
      </c>
      <c r="D35" s="10" t="s">
        <v>44</v>
      </c>
      <c r="E35" s="47">
        <v>10000</v>
      </c>
      <c r="F35" s="30"/>
      <c r="G35" s="30">
        <f t="shared" si="1"/>
        <v>10000</v>
      </c>
      <c r="H35" s="31">
        <v>6000</v>
      </c>
      <c r="I35" s="32">
        <v>6000</v>
      </c>
    </row>
    <row r="36" spans="3:14" ht="12.75" customHeight="1">
      <c r="C36" s="16">
        <v>32344</v>
      </c>
      <c r="D36" s="10" t="s">
        <v>43</v>
      </c>
      <c r="E36" s="47">
        <v>35000</v>
      </c>
      <c r="F36" s="30"/>
      <c r="G36" s="30">
        <f t="shared" si="1"/>
        <v>35000</v>
      </c>
      <c r="H36" s="31">
        <v>40000</v>
      </c>
      <c r="I36" s="32">
        <v>40000</v>
      </c>
      <c r="K36" s="49"/>
      <c r="L36" s="49"/>
      <c r="M36" s="49"/>
      <c r="N36" s="49"/>
    </row>
    <row r="37" spans="3:14" ht="12.75" customHeight="1">
      <c r="C37" s="16">
        <v>32347</v>
      </c>
      <c r="D37" s="10" t="s">
        <v>48</v>
      </c>
      <c r="E37" s="47">
        <v>4000</v>
      </c>
      <c r="F37" s="30"/>
      <c r="G37" s="30">
        <f t="shared" si="1"/>
        <v>4000</v>
      </c>
      <c r="H37" s="31">
        <v>3500</v>
      </c>
      <c r="I37" s="32">
        <v>3500</v>
      </c>
      <c r="K37" s="49"/>
      <c r="L37" s="49"/>
      <c r="M37" s="49"/>
      <c r="N37" s="49"/>
    </row>
    <row r="38" spans="3:14" ht="12.75" customHeight="1">
      <c r="C38" s="17">
        <v>32349</v>
      </c>
      <c r="D38" s="10" t="s">
        <v>42</v>
      </c>
      <c r="E38" s="47">
        <v>10000</v>
      </c>
      <c r="F38" s="30"/>
      <c r="G38" s="30">
        <f t="shared" si="1"/>
        <v>10000</v>
      </c>
      <c r="H38" s="31">
        <v>10000</v>
      </c>
      <c r="I38" s="32">
        <v>10000</v>
      </c>
      <c r="K38" s="49"/>
      <c r="L38" s="49"/>
      <c r="M38" s="49"/>
      <c r="N38" s="49"/>
    </row>
    <row r="39" spans="3:14" ht="12.75" customHeight="1">
      <c r="C39" s="16">
        <v>32353</v>
      </c>
      <c r="D39" s="10" t="s">
        <v>49</v>
      </c>
      <c r="E39" s="47">
        <v>37500</v>
      </c>
      <c r="F39" s="30">
        <v>50000</v>
      </c>
      <c r="G39" s="30">
        <f t="shared" si="1"/>
        <v>87500</v>
      </c>
      <c r="H39" s="31">
        <v>20000</v>
      </c>
      <c r="I39" s="32">
        <v>20000</v>
      </c>
      <c r="K39" s="49"/>
      <c r="L39" s="49"/>
      <c r="M39" s="49"/>
      <c r="N39" s="49"/>
    </row>
    <row r="40" spans="3:14" ht="12.75" customHeight="1">
      <c r="C40" s="16">
        <v>32359</v>
      </c>
      <c r="D40" s="10" t="s">
        <v>79</v>
      </c>
      <c r="E40" s="47">
        <v>25000</v>
      </c>
      <c r="F40" s="30">
        <v>10000</v>
      </c>
      <c r="G40" s="30">
        <f t="shared" si="1"/>
        <v>35000</v>
      </c>
      <c r="H40" s="31">
        <f>20000+20000</f>
        <v>40000</v>
      </c>
      <c r="I40" s="32">
        <f>20000+20000</f>
        <v>40000</v>
      </c>
      <c r="K40" s="49"/>
      <c r="L40" s="49"/>
      <c r="M40" s="49"/>
      <c r="N40" s="49"/>
    </row>
    <row r="41" spans="3:14" ht="12.75" customHeight="1">
      <c r="C41" s="16">
        <v>32361</v>
      </c>
      <c r="D41" s="10" t="s">
        <v>25</v>
      </c>
      <c r="E41" s="47">
        <v>60000</v>
      </c>
      <c r="F41" s="30"/>
      <c r="G41" s="30">
        <f t="shared" si="1"/>
        <v>60000</v>
      </c>
      <c r="H41" s="31">
        <v>55000</v>
      </c>
      <c r="I41" s="32">
        <v>55000</v>
      </c>
      <c r="K41" s="49"/>
      <c r="L41" s="49"/>
      <c r="M41" s="49"/>
      <c r="N41" s="49"/>
    </row>
    <row r="42" spans="3:14" ht="12.75" customHeight="1">
      <c r="C42" s="16">
        <v>32371</v>
      </c>
      <c r="D42" s="10" t="s">
        <v>50</v>
      </c>
      <c r="E42" s="47">
        <v>15000</v>
      </c>
      <c r="F42" s="30"/>
      <c r="G42" s="30">
        <f t="shared" si="1"/>
        <v>15000</v>
      </c>
      <c r="H42" s="31">
        <v>5000</v>
      </c>
      <c r="I42" s="32">
        <v>5000</v>
      </c>
      <c r="K42" s="49"/>
      <c r="L42" s="49"/>
      <c r="M42" s="49"/>
      <c r="N42" s="49"/>
    </row>
    <row r="43" spans="3:14" ht="12.75" customHeight="1">
      <c r="C43" s="16">
        <v>32372</v>
      </c>
      <c r="D43" s="10" t="s">
        <v>53</v>
      </c>
      <c r="E43" s="47">
        <v>20000</v>
      </c>
      <c r="F43" s="30">
        <v>10000</v>
      </c>
      <c r="G43" s="30">
        <f t="shared" si="1"/>
        <v>30000</v>
      </c>
      <c r="H43" s="31">
        <v>15000</v>
      </c>
      <c r="I43" s="32">
        <v>15000</v>
      </c>
      <c r="K43" s="49"/>
      <c r="L43" s="49"/>
      <c r="M43" s="49"/>
      <c r="N43" s="49"/>
    </row>
    <row r="44" spans="3:14" ht="12.75" customHeight="1">
      <c r="C44" s="16">
        <v>32374</v>
      </c>
      <c r="D44" s="10" t="s">
        <v>39</v>
      </c>
      <c r="E44" s="47">
        <v>78000</v>
      </c>
      <c r="F44" s="30"/>
      <c r="G44" s="30">
        <f t="shared" si="1"/>
        <v>78000</v>
      </c>
      <c r="H44" s="31">
        <v>50000</v>
      </c>
      <c r="I44" s="32">
        <v>50000</v>
      </c>
      <c r="K44" s="49"/>
      <c r="L44" s="49"/>
      <c r="M44" s="49"/>
      <c r="N44" s="49"/>
    </row>
    <row r="45" spans="3:14" ht="12.75" customHeight="1">
      <c r="C45" s="16">
        <v>32379</v>
      </c>
      <c r="D45" s="10" t="s">
        <v>11</v>
      </c>
      <c r="E45" s="47">
        <v>37500</v>
      </c>
      <c r="F45" s="30"/>
      <c r="G45" s="30">
        <f t="shared" si="1"/>
        <v>37500</v>
      </c>
      <c r="H45" s="31">
        <v>32000</v>
      </c>
      <c r="I45" s="32">
        <v>32000</v>
      </c>
      <c r="K45" s="49"/>
      <c r="L45" s="49"/>
      <c r="M45" s="49"/>
      <c r="N45" s="49"/>
    </row>
    <row r="46" spans="3:14" ht="12.75" customHeight="1">
      <c r="C46" s="16">
        <v>32381</v>
      </c>
      <c r="D46" s="10" t="s">
        <v>12</v>
      </c>
      <c r="E46" s="47">
        <v>100000</v>
      </c>
      <c r="F46" s="30"/>
      <c r="G46" s="30">
        <f t="shared" si="1"/>
        <v>100000</v>
      </c>
      <c r="H46" s="31">
        <v>80000</v>
      </c>
      <c r="I46" s="32">
        <v>80000</v>
      </c>
      <c r="K46" s="49"/>
      <c r="L46" s="49"/>
      <c r="M46" s="49"/>
      <c r="N46" s="49"/>
    </row>
    <row r="47" spans="3:14" ht="12.75" customHeight="1">
      <c r="C47" s="16">
        <v>32391</v>
      </c>
      <c r="D47" s="10" t="s">
        <v>32</v>
      </c>
      <c r="E47" s="47">
        <v>70000</v>
      </c>
      <c r="F47" s="30"/>
      <c r="G47" s="30">
        <f t="shared" si="1"/>
        <v>70000</v>
      </c>
      <c r="H47" s="31">
        <v>105000</v>
      </c>
      <c r="I47" s="32">
        <v>105000</v>
      </c>
      <c r="K47" s="49"/>
      <c r="L47" s="49"/>
      <c r="M47" s="49"/>
      <c r="N47" s="49"/>
    </row>
    <row r="48" spans="3:9" ht="12.75" customHeight="1">
      <c r="C48" s="16">
        <v>32394</v>
      </c>
      <c r="D48" s="10" t="s">
        <v>51</v>
      </c>
      <c r="E48" s="47">
        <v>10000</v>
      </c>
      <c r="F48" s="30"/>
      <c r="G48" s="30">
        <f t="shared" si="1"/>
        <v>10000</v>
      </c>
      <c r="H48" s="31">
        <v>6500</v>
      </c>
      <c r="I48" s="32">
        <v>6500</v>
      </c>
    </row>
    <row r="49" spans="3:9" ht="12.75" customHeight="1">
      <c r="C49" s="16">
        <v>32396</v>
      </c>
      <c r="D49" s="10" t="s">
        <v>10</v>
      </c>
      <c r="E49" s="47">
        <v>8000</v>
      </c>
      <c r="F49" s="30"/>
      <c r="G49" s="30">
        <f t="shared" si="1"/>
        <v>8000</v>
      </c>
      <c r="H49" s="31">
        <v>8000</v>
      </c>
      <c r="I49" s="32">
        <v>8000</v>
      </c>
    </row>
    <row r="50" spans="3:9" ht="12.75" customHeight="1">
      <c r="C50" s="16">
        <v>32399</v>
      </c>
      <c r="D50" s="10" t="s">
        <v>65</v>
      </c>
      <c r="E50" s="47">
        <v>150000</v>
      </c>
      <c r="F50" s="30">
        <v>50000</v>
      </c>
      <c r="G50" s="30">
        <f t="shared" si="1"/>
        <v>200000</v>
      </c>
      <c r="H50" s="31">
        <f>50000+50000</f>
        <v>100000</v>
      </c>
      <c r="I50" s="32">
        <f>50000+50000</f>
        <v>100000</v>
      </c>
    </row>
    <row r="51" spans="3:9" ht="12.75" customHeight="1">
      <c r="C51" s="16">
        <v>32921</v>
      </c>
      <c r="D51" s="10" t="s">
        <v>14</v>
      </c>
      <c r="E51" s="47">
        <v>28000</v>
      </c>
      <c r="F51" s="30"/>
      <c r="G51" s="30">
        <f t="shared" si="1"/>
        <v>28000</v>
      </c>
      <c r="H51" s="31">
        <v>9400</v>
      </c>
      <c r="I51" s="32">
        <v>9400</v>
      </c>
    </row>
    <row r="52" spans="3:9" ht="12.75" customHeight="1">
      <c r="C52" s="16">
        <v>32923</v>
      </c>
      <c r="D52" s="10" t="s">
        <v>15</v>
      </c>
      <c r="E52" s="47">
        <v>15000</v>
      </c>
      <c r="F52" s="30"/>
      <c r="G52" s="30">
        <f t="shared" si="1"/>
        <v>15000</v>
      </c>
      <c r="H52" s="31">
        <v>15000</v>
      </c>
      <c r="I52" s="32">
        <v>15000</v>
      </c>
    </row>
    <row r="53" spans="3:9" ht="12.75" customHeight="1">
      <c r="C53" s="16">
        <v>32931</v>
      </c>
      <c r="D53" s="10" t="s">
        <v>24</v>
      </c>
      <c r="E53" s="47">
        <v>5000</v>
      </c>
      <c r="F53" s="30"/>
      <c r="G53" s="30">
        <f t="shared" si="1"/>
        <v>5000</v>
      </c>
      <c r="H53" s="31">
        <v>5000</v>
      </c>
      <c r="I53" s="32">
        <v>5000</v>
      </c>
    </row>
    <row r="54" spans="3:9" ht="12.75" customHeight="1">
      <c r="C54" s="16">
        <v>32377</v>
      </c>
      <c r="D54" s="10" t="s">
        <v>81</v>
      </c>
      <c r="E54" s="47">
        <v>150000</v>
      </c>
      <c r="F54" s="30"/>
      <c r="G54" s="30">
        <f t="shared" si="1"/>
        <v>150000</v>
      </c>
      <c r="H54" s="31"/>
      <c r="I54" s="32"/>
    </row>
    <row r="55" spans="3:9" ht="12.75" customHeight="1">
      <c r="C55" s="16">
        <v>32131</v>
      </c>
      <c r="D55" s="10" t="s">
        <v>66</v>
      </c>
      <c r="E55" s="47">
        <v>90000</v>
      </c>
      <c r="F55" s="30"/>
      <c r="G55" s="30">
        <f t="shared" si="1"/>
        <v>90000</v>
      </c>
      <c r="H55" s="31">
        <v>34500</v>
      </c>
      <c r="I55" s="32">
        <v>34500</v>
      </c>
    </row>
    <row r="56" spans="3:9" ht="12.75" customHeight="1">
      <c r="C56" s="16">
        <v>32959</v>
      </c>
      <c r="D56" s="10" t="s">
        <v>40</v>
      </c>
      <c r="E56" s="47">
        <v>25000</v>
      </c>
      <c r="F56" s="30"/>
      <c r="G56" s="30">
        <f t="shared" si="1"/>
        <v>25000</v>
      </c>
      <c r="H56" s="31">
        <v>9000</v>
      </c>
      <c r="I56" s="32">
        <v>9000</v>
      </c>
    </row>
    <row r="57" spans="3:9" ht="12.75" customHeight="1">
      <c r="C57" s="15">
        <v>34</v>
      </c>
      <c r="D57" s="9" t="s">
        <v>31</v>
      </c>
      <c r="E57" s="40">
        <f>SUM(E58:E59)</f>
        <v>7500</v>
      </c>
      <c r="F57" s="33">
        <f>SUM(F58:F59)</f>
        <v>0</v>
      </c>
      <c r="G57" s="33">
        <f>SUM(G58:G59)</f>
        <v>7500</v>
      </c>
      <c r="H57" s="33">
        <f>SUM(H58:H59)</f>
        <v>8000</v>
      </c>
      <c r="I57" s="34">
        <f>SUM(I58:I59)</f>
        <v>8000</v>
      </c>
    </row>
    <row r="58" spans="3:9" ht="12.75" customHeight="1">
      <c r="C58" s="16">
        <v>34311</v>
      </c>
      <c r="D58" s="10" t="s">
        <v>16</v>
      </c>
      <c r="E58" s="57">
        <v>7000</v>
      </c>
      <c r="F58" s="30"/>
      <c r="G58" s="30">
        <f>F58+E58</f>
        <v>7000</v>
      </c>
      <c r="H58" s="31">
        <v>7000</v>
      </c>
      <c r="I58" s="32">
        <v>7000</v>
      </c>
    </row>
    <row r="59" spans="3:9" ht="12" customHeight="1">
      <c r="C59" s="16">
        <v>34333</v>
      </c>
      <c r="D59" s="10" t="s">
        <v>62</v>
      </c>
      <c r="E59" s="57">
        <v>500</v>
      </c>
      <c r="F59" s="30"/>
      <c r="G59" s="30">
        <f>F59+E59</f>
        <v>500</v>
      </c>
      <c r="H59" s="31">
        <v>1000</v>
      </c>
      <c r="I59" s="32">
        <v>1000</v>
      </c>
    </row>
    <row r="60" spans="3:9" ht="12" customHeight="1">
      <c r="C60" s="15">
        <v>42</v>
      </c>
      <c r="D60" s="9" t="s">
        <v>33</v>
      </c>
      <c r="E60" s="40">
        <f>SUM(E61:E64)</f>
        <v>58250</v>
      </c>
      <c r="F60" s="33">
        <f>SUM(F61:F64)</f>
        <v>0</v>
      </c>
      <c r="G60" s="33">
        <f>SUM(G61:G64)</f>
        <v>58250</v>
      </c>
      <c r="H60" s="33">
        <f>SUM(H61:H64)</f>
        <v>90000</v>
      </c>
      <c r="I60" s="34">
        <f>SUM(I61:I64)</f>
        <v>90000</v>
      </c>
    </row>
    <row r="61" spans="3:9" ht="12" customHeight="1">
      <c r="C61" s="16">
        <v>42211</v>
      </c>
      <c r="D61" s="10" t="s">
        <v>54</v>
      </c>
      <c r="E61" s="57">
        <v>13250</v>
      </c>
      <c r="F61" s="30"/>
      <c r="G61" s="30">
        <f>F61+E61</f>
        <v>13250</v>
      </c>
      <c r="H61" s="31">
        <v>25000</v>
      </c>
      <c r="I61" s="32">
        <v>25000</v>
      </c>
    </row>
    <row r="62" spans="3:9" ht="12" customHeight="1">
      <c r="C62" s="16">
        <v>42219</v>
      </c>
      <c r="D62" s="10" t="s">
        <v>55</v>
      </c>
      <c r="E62" s="57">
        <v>0</v>
      </c>
      <c r="F62" s="30"/>
      <c r="G62" s="30">
        <f>F62+E62</f>
        <v>0</v>
      </c>
      <c r="H62" s="31">
        <v>5000</v>
      </c>
      <c r="I62" s="32">
        <v>5000</v>
      </c>
    </row>
    <row r="63" spans="3:9" ht="12" customHeight="1">
      <c r="C63" s="18">
        <v>42229</v>
      </c>
      <c r="D63" s="12" t="s">
        <v>63</v>
      </c>
      <c r="E63" s="57">
        <v>20000</v>
      </c>
      <c r="F63" s="30"/>
      <c r="G63" s="30">
        <f>F63+E63</f>
        <v>20000</v>
      </c>
      <c r="H63" s="31">
        <v>35000</v>
      </c>
      <c r="I63" s="32">
        <v>35000</v>
      </c>
    </row>
    <row r="64" spans="3:9" ht="12" customHeight="1">
      <c r="C64" s="18">
        <v>42239</v>
      </c>
      <c r="D64" s="12" t="s">
        <v>64</v>
      </c>
      <c r="E64" s="57">
        <v>25000</v>
      </c>
      <c r="F64" s="30"/>
      <c r="G64" s="30">
        <f>F64+E64</f>
        <v>25000</v>
      </c>
      <c r="H64" s="31">
        <v>25000</v>
      </c>
      <c r="I64" s="32">
        <v>25000</v>
      </c>
    </row>
    <row r="65" spans="3:9" ht="12.75" customHeight="1">
      <c r="C65" s="19" t="s">
        <v>34</v>
      </c>
      <c r="D65" s="13" t="s">
        <v>35</v>
      </c>
      <c r="E65" s="41" t="s">
        <v>72</v>
      </c>
      <c r="F65" s="42" t="s">
        <v>73</v>
      </c>
      <c r="G65" s="42" t="s">
        <v>38</v>
      </c>
      <c r="H65" s="42" t="s">
        <v>38</v>
      </c>
      <c r="I65" s="43" t="s">
        <v>38</v>
      </c>
    </row>
    <row r="66" spans="3:9" ht="13.5" customHeight="1">
      <c r="C66" s="15">
        <v>32</v>
      </c>
      <c r="D66" s="9" t="s">
        <v>27</v>
      </c>
      <c r="E66" s="40">
        <f>SUM(E67:E68)</f>
        <v>112500</v>
      </c>
      <c r="F66" s="33">
        <f>SUM(F67:F68)</f>
        <v>0</v>
      </c>
      <c r="G66" s="33">
        <f>SUM(G67:G68)</f>
        <v>112500</v>
      </c>
      <c r="H66" s="33">
        <f>SUM(H67:H68)</f>
        <v>35500</v>
      </c>
      <c r="I66" s="34">
        <f>SUM(I67:I68)</f>
        <v>35500</v>
      </c>
    </row>
    <row r="67" spans="3:9" ht="13.5" customHeight="1">
      <c r="C67" s="18">
        <v>32271</v>
      </c>
      <c r="D67" s="11" t="s">
        <v>26</v>
      </c>
      <c r="E67" s="57">
        <v>85000</v>
      </c>
      <c r="F67" s="30"/>
      <c r="G67" s="30">
        <f>F67+E67</f>
        <v>85000</v>
      </c>
      <c r="H67" s="31">
        <v>25500</v>
      </c>
      <c r="I67" s="32">
        <v>25500</v>
      </c>
    </row>
    <row r="68" spans="3:9" ht="12.75" customHeight="1">
      <c r="C68" s="18">
        <v>42233</v>
      </c>
      <c r="D68" s="12" t="s">
        <v>69</v>
      </c>
      <c r="E68" s="57">
        <v>27500</v>
      </c>
      <c r="F68" s="30"/>
      <c r="G68" s="30">
        <f>F68+E68</f>
        <v>27500</v>
      </c>
      <c r="H68" s="31">
        <v>10000</v>
      </c>
      <c r="I68" s="32">
        <v>10000</v>
      </c>
    </row>
    <row r="69" spans="3:9" ht="12.75" customHeight="1">
      <c r="C69" s="19" t="s">
        <v>56</v>
      </c>
      <c r="D69" s="13" t="s">
        <v>57</v>
      </c>
      <c r="E69" s="41" t="s">
        <v>72</v>
      </c>
      <c r="F69" s="42" t="s">
        <v>73</v>
      </c>
      <c r="G69" s="42" t="s">
        <v>38</v>
      </c>
      <c r="H69" s="42" t="s">
        <v>38</v>
      </c>
      <c r="I69" s="43" t="s">
        <v>38</v>
      </c>
    </row>
    <row r="70" spans="3:9" ht="12.75" customHeight="1">
      <c r="C70" s="20">
        <v>32</v>
      </c>
      <c r="D70" s="9" t="s">
        <v>27</v>
      </c>
      <c r="E70" s="40">
        <f>SUM(E71)</f>
        <v>37500</v>
      </c>
      <c r="F70" s="33">
        <v>0</v>
      </c>
      <c r="G70" s="33">
        <f>SUM(G71)</f>
        <v>37500</v>
      </c>
      <c r="H70" s="33">
        <f>SUM(H71)</f>
        <v>39000</v>
      </c>
      <c r="I70" s="34">
        <f>SUM(I71)</f>
        <v>39000</v>
      </c>
    </row>
    <row r="71" spans="3:9" ht="12.75" customHeight="1">
      <c r="C71" s="16">
        <v>32355</v>
      </c>
      <c r="D71" s="10" t="s">
        <v>71</v>
      </c>
      <c r="E71" s="47">
        <v>37500</v>
      </c>
      <c r="F71" s="30"/>
      <c r="G71" s="30">
        <f>E71+F71</f>
        <v>37500</v>
      </c>
      <c r="H71" s="31">
        <v>39000</v>
      </c>
      <c r="I71" s="32">
        <v>39000</v>
      </c>
    </row>
    <row r="72" spans="3:9" ht="27.75" customHeight="1">
      <c r="C72" s="50"/>
      <c r="D72" s="13" t="s">
        <v>76</v>
      </c>
      <c r="E72" s="51" t="s">
        <v>72</v>
      </c>
      <c r="F72" s="52" t="s">
        <v>77</v>
      </c>
      <c r="G72" s="52" t="s">
        <v>38</v>
      </c>
      <c r="H72" s="52" t="s">
        <v>38</v>
      </c>
      <c r="I72" s="53" t="s">
        <v>38</v>
      </c>
    </row>
    <row r="73" spans="3:9" ht="15" customHeight="1">
      <c r="C73" s="58"/>
      <c r="D73" s="61" t="s">
        <v>27</v>
      </c>
      <c r="E73" s="62">
        <f>SUM(E74,E75,E76,E77)</f>
        <v>1132000</v>
      </c>
      <c r="F73" s="59"/>
      <c r="G73" s="63">
        <f>SUM(G74:G77)</f>
        <v>1132000</v>
      </c>
      <c r="H73" s="59"/>
      <c r="I73" s="60"/>
    </row>
    <row r="74" spans="3:9" ht="18" customHeight="1">
      <c r="C74" s="16">
        <v>32329</v>
      </c>
      <c r="D74" s="10" t="s">
        <v>70</v>
      </c>
      <c r="E74" s="54">
        <v>460000</v>
      </c>
      <c r="F74" s="55"/>
      <c r="G74" s="55">
        <v>460000</v>
      </c>
      <c r="H74" s="55"/>
      <c r="I74" s="56"/>
    </row>
    <row r="75" spans="3:9" ht="18" customHeight="1">
      <c r="C75" s="16">
        <v>32379</v>
      </c>
      <c r="D75" s="10" t="s">
        <v>11</v>
      </c>
      <c r="E75" s="54">
        <v>250000</v>
      </c>
      <c r="F75" s="55"/>
      <c r="G75" s="55">
        <v>250000</v>
      </c>
      <c r="H75" s="55"/>
      <c r="I75" s="56"/>
    </row>
    <row r="76" spans="3:9" ht="18" customHeight="1">
      <c r="C76" s="16">
        <v>32399</v>
      </c>
      <c r="D76" s="10" t="s">
        <v>65</v>
      </c>
      <c r="E76" s="54">
        <v>277000</v>
      </c>
      <c r="F76" s="55"/>
      <c r="G76" s="55">
        <v>277000</v>
      </c>
      <c r="H76" s="55"/>
      <c r="I76" s="56"/>
    </row>
    <row r="77" spans="3:9" ht="18" customHeight="1">
      <c r="C77" s="16">
        <v>42273</v>
      </c>
      <c r="D77" s="10" t="s">
        <v>78</v>
      </c>
      <c r="E77" s="54">
        <v>145000</v>
      </c>
      <c r="F77" s="55"/>
      <c r="G77" s="55">
        <v>145000</v>
      </c>
      <c r="H77" s="55"/>
      <c r="I77" s="56"/>
    </row>
    <row r="78" spans="3:9" ht="12.75" customHeight="1">
      <c r="C78" s="19" t="s">
        <v>36</v>
      </c>
      <c r="D78" s="13" t="s">
        <v>37</v>
      </c>
      <c r="E78" s="41" t="s">
        <v>68</v>
      </c>
      <c r="F78" s="42" t="s">
        <v>67</v>
      </c>
      <c r="G78" s="42" t="s">
        <v>38</v>
      </c>
      <c r="H78" s="42" t="s">
        <v>38</v>
      </c>
      <c r="I78" s="43" t="s">
        <v>38</v>
      </c>
    </row>
    <row r="79" spans="3:9" ht="12.75" customHeight="1">
      <c r="C79" s="15">
        <v>32</v>
      </c>
      <c r="D79" s="9" t="s">
        <v>27</v>
      </c>
      <c r="E79" s="40">
        <f>SUM(E80)</f>
        <v>50000</v>
      </c>
      <c r="F79" s="33">
        <f>SUM(F80)</f>
        <v>0</v>
      </c>
      <c r="G79" s="33">
        <f>SUM(G80)</f>
        <v>50000</v>
      </c>
      <c r="H79" s="33">
        <f>SUM(H80)</f>
        <v>50000</v>
      </c>
      <c r="I79" s="34">
        <f>SUM(I80)</f>
        <v>50000</v>
      </c>
    </row>
    <row r="80" spans="3:9" ht="12.75" customHeight="1">
      <c r="C80" s="18">
        <v>32911</v>
      </c>
      <c r="D80" s="12" t="s">
        <v>13</v>
      </c>
      <c r="E80" s="57">
        <v>50000</v>
      </c>
      <c r="F80" s="30">
        <v>0</v>
      </c>
      <c r="G80" s="30">
        <f>F80+E80</f>
        <v>50000</v>
      </c>
      <c r="H80" s="31">
        <v>50000</v>
      </c>
      <c r="I80" s="32">
        <v>50000</v>
      </c>
    </row>
    <row r="81" spans="3:9" ht="12.75" customHeight="1" thickBot="1">
      <c r="C81" s="21"/>
      <c r="D81" s="22" t="s">
        <v>17</v>
      </c>
      <c r="E81" s="35">
        <f>SUM(E6,E13,E57,E60,E66,E70,E73,E79)</f>
        <v>10258300</v>
      </c>
      <c r="F81" s="44">
        <f>SUM(F6,F13,F57,F60,F70,F79)</f>
        <v>280000</v>
      </c>
      <c r="G81" s="44">
        <f>SUM(G6,G13,G57,G60,G66,G70,G79,G73)</f>
        <v>10538300</v>
      </c>
      <c r="H81" s="35">
        <f>SUM(H6,H13,H57,H60,H66,H70,H79)</f>
        <v>8655355</v>
      </c>
      <c r="I81" s="36">
        <f>SUM(I6,I13,I57,I60,I66,I70,I79)</f>
        <v>8792967.280000001</v>
      </c>
    </row>
    <row r="82" ht="12.75"/>
    <row r="83" spans="3:7" ht="12.75">
      <c r="C83" s="27"/>
      <c r="D83" s="28"/>
      <c r="E83" s="29"/>
      <c r="F83" s="29"/>
      <c r="G83" s="29"/>
    </row>
    <row r="87" spans="5:7" ht="12.75">
      <c r="E87" s="48"/>
      <c r="G87" s="48"/>
    </row>
    <row r="89" ht="16.5" customHeight="1"/>
    <row r="108" ht="12.75" customHeight="1"/>
  </sheetData>
  <sheetProtection/>
  <mergeCells count="1">
    <mergeCell ref="C4:E4"/>
  </mergeCells>
  <printOptions/>
  <pageMargins left="0.5905511811023623" right="0.5118110236220472" top="0.7480314960629921" bottom="0.35433070866141736" header="0.31496062992125984" footer="0.31496062992125984"/>
  <pageSetup fitToHeight="0" fitToWidth="1" horizontalDpi="600" verticalDpi="600" orientation="landscape" pageOrder="overThenDown" paperSize="9" scale="99" r:id="rId3"/>
  <legacyDrawing r:id="rId2"/>
</worksheet>
</file>

<file path=xl/worksheets/sheet4.xml><?xml version="1.0" encoding="utf-8"?>
<worksheet xmlns="http://schemas.openxmlformats.org/spreadsheetml/2006/main" xmlns:r="http://schemas.openxmlformats.org/officeDocument/2006/relationships">
  <dimension ref="B5:F12"/>
  <sheetViews>
    <sheetView tabSelected="1" zoomScalePageLayoutView="0" workbookViewId="0" topLeftCell="A1">
      <selection activeCell="F22" sqref="F22"/>
    </sheetView>
  </sheetViews>
  <sheetFormatPr defaultColWidth="9.140625" defaultRowHeight="12.75"/>
  <cols>
    <col min="2" max="2" width="8.421875" style="0" customWidth="1"/>
    <col min="3" max="3" width="25.7109375" style="0" customWidth="1"/>
    <col min="4" max="6" width="20.8515625" style="0" customWidth="1"/>
  </cols>
  <sheetData>
    <row r="4" ht="13.5" thickBot="1"/>
    <row r="5" spans="2:6" ht="13.5" thickBot="1">
      <c r="B5" s="107" t="s">
        <v>83</v>
      </c>
      <c r="C5" s="108"/>
      <c r="D5" s="108"/>
      <c r="E5" s="108"/>
      <c r="F5" s="109"/>
    </row>
    <row r="6" spans="2:6" ht="13.5" thickBot="1">
      <c r="B6" s="90"/>
      <c r="C6" s="90"/>
      <c r="D6" s="90"/>
      <c r="E6" s="90"/>
      <c r="F6" s="90"/>
    </row>
    <row r="7" spans="2:6" ht="12.75">
      <c r="B7" s="91" t="s">
        <v>84</v>
      </c>
      <c r="C7" s="92" t="s">
        <v>85</v>
      </c>
      <c r="D7" s="92" t="s">
        <v>86</v>
      </c>
      <c r="E7" s="92" t="s">
        <v>89</v>
      </c>
      <c r="F7" s="93" t="s">
        <v>90</v>
      </c>
    </row>
    <row r="8" spans="2:6" ht="28.5" customHeight="1">
      <c r="B8" s="94">
        <v>671</v>
      </c>
      <c r="C8" s="96" t="s">
        <v>87</v>
      </c>
      <c r="D8" s="99">
        <v>1361510.39</v>
      </c>
      <c r="E8" s="99">
        <v>1148763.02</v>
      </c>
      <c r="F8" s="100">
        <v>1167027.31</v>
      </c>
    </row>
    <row r="9" spans="2:6" ht="24" customHeight="1">
      <c r="B9" s="94">
        <v>661</v>
      </c>
      <c r="C9" s="95" t="s">
        <v>88</v>
      </c>
      <c r="D9" s="99">
        <v>37162.39</v>
      </c>
      <c r="E9" s="99">
        <v>37162.39</v>
      </c>
      <c r="F9" s="99">
        <v>37162.39</v>
      </c>
    </row>
    <row r="10" spans="2:6" ht="13.5" thickBot="1">
      <c r="B10" s="97"/>
      <c r="C10" s="98" t="s">
        <v>38</v>
      </c>
      <c r="D10" s="101">
        <f>SUM(D8:D9)</f>
        <v>1398672.7799999998</v>
      </c>
      <c r="E10" s="101">
        <f>SUM(E8:E9)</f>
        <v>1185925.41</v>
      </c>
      <c r="F10" s="102">
        <f>SUM(F8:F9)</f>
        <v>1204189.7</v>
      </c>
    </row>
    <row r="12" spans="2:5" ht="12.75">
      <c r="B12" s="110" t="s">
        <v>91</v>
      </c>
      <c r="C12" s="111"/>
      <c r="D12" s="111"/>
      <c r="E12" s="111"/>
    </row>
  </sheetData>
  <sheetProtection/>
  <mergeCells count="2">
    <mergeCell ref="B5:F5"/>
    <mergeCell ref="B12:E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GKM</dc:creator>
  <cp:keywords/>
  <dc:description/>
  <cp:lastModifiedBy>Denis</cp:lastModifiedBy>
  <cp:lastPrinted>2022-10-07T13:06:00Z</cp:lastPrinted>
  <dcterms:created xsi:type="dcterms:W3CDTF">2006-02-07T13:02:10Z</dcterms:created>
  <dcterms:modified xsi:type="dcterms:W3CDTF">2022-10-10T11:11:31Z</dcterms:modified>
  <cp:category/>
  <cp:version/>
  <cp:contentType/>
  <cp:contentStatus/>
</cp:coreProperties>
</file>